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K:\BD-AWEL-040-WB\Sekt_PG\Fachthemen-Projekte\Gewässerraum-Festlegungen\Website_Unterlagen_2026\InfoPlattformGWR_neu\"/>
    </mc:Choice>
  </mc:AlternateContent>
  <xr:revisionPtr revIDLastSave="0" documentId="13_ncr:1_{3C0EF4FF-3CA6-4F50-87F3-0BCB99530A7F}" xr6:coauthVersionLast="47" xr6:coauthVersionMax="47" xr10:uidLastSave="{00000000-0000-0000-0000-000000000000}"/>
  <bookViews>
    <workbookView xWindow="2304" yWindow="2304" windowWidth="17280" windowHeight="9960" xr2:uid="{00000000-000D-0000-FFFF-FFFF00000000}"/>
  </bookViews>
  <sheets>
    <sheet name="Anleitung" sheetId="2" r:id="rId1"/>
    <sheet name="(potentiell) offene Abschnitte" sheetId="1" r:id="rId2"/>
    <sheet name="eingedolte Abschnit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C26" i="3"/>
  <c r="C25" i="3"/>
  <c r="D25" i="3"/>
  <c r="E25" i="3"/>
  <c r="F25" i="3"/>
  <c r="F19" i="3" l="1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C16" i="3"/>
  <c r="C18" i="3"/>
  <c r="C19" i="3" s="1"/>
  <c r="C20" i="3" l="1"/>
  <c r="C21" i="1"/>
  <c r="C20" i="1"/>
  <c r="C22" i="1" l="1"/>
  <c r="C23" i="1" s="1"/>
  <c r="C24" i="1" s="1"/>
  <c r="C25" i="1" s="1"/>
  <c r="C26" i="1" s="1"/>
  <c r="D18" i="3" l="1"/>
  <c r="D19" i="3" s="1"/>
  <c r="E18" i="3"/>
  <c r="E19" i="3" s="1"/>
  <c r="E20" i="3" s="1"/>
  <c r="F18" i="3"/>
  <c r="G18" i="3"/>
  <c r="H18" i="3"/>
  <c r="H19" i="3" s="1"/>
  <c r="I18" i="3"/>
  <c r="I19" i="3" s="1"/>
  <c r="J18" i="3"/>
  <c r="J19" i="3" s="1"/>
  <c r="K18" i="3"/>
  <c r="K19" i="3" s="1"/>
  <c r="L18" i="3"/>
  <c r="L19" i="3" s="1"/>
  <c r="M18" i="3"/>
  <c r="M19" i="3" s="1"/>
  <c r="N18" i="3"/>
  <c r="O18" i="3"/>
  <c r="P18" i="3"/>
  <c r="P19" i="3" s="1"/>
  <c r="Q18" i="3"/>
  <c r="Q19" i="3" s="1"/>
  <c r="R18" i="3"/>
  <c r="R19" i="3" s="1"/>
  <c r="S18" i="3"/>
  <c r="S19" i="3" s="1"/>
  <c r="T18" i="3"/>
  <c r="T19" i="3" s="1"/>
  <c r="U18" i="3"/>
  <c r="U19" i="3" s="1"/>
  <c r="V18" i="3"/>
  <c r="G19" i="3"/>
  <c r="N19" i="3"/>
  <c r="O19" i="3"/>
  <c r="V19" i="3"/>
  <c r="G33" i="1"/>
  <c r="C29" i="1"/>
  <c r="S21" i="3" l="1"/>
  <c r="S20" i="3"/>
  <c r="S22" i="3" s="1"/>
  <c r="S23" i="3" s="1"/>
  <c r="Q21" i="3"/>
  <c r="Q20" i="3"/>
  <c r="Q22" i="3" s="1"/>
  <c r="Q23" i="3" s="1"/>
  <c r="N21" i="3"/>
  <c r="N20" i="3"/>
  <c r="N22" i="3" s="1"/>
  <c r="N23" i="3" s="1"/>
  <c r="V21" i="3"/>
  <c r="V20" i="3"/>
  <c r="J21" i="3"/>
  <c r="J20" i="3"/>
  <c r="J22" i="3" s="1"/>
  <c r="J23" i="3" s="1"/>
  <c r="P21" i="3"/>
  <c r="P20" i="3"/>
  <c r="P22" i="3" s="1"/>
  <c r="P23" i="3" s="1"/>
  <c r="R21" i="3"/>
  <c r="R20" i="3"/>
  <c r="R22" i="3" s="1"/>
  <c r="R23" i="3" s="1"/>
  <c r="I21" i="3"/>
  <c r="I20" i="3"/>
  <c r="G21" i="3"/>
  <c r="G20" i="3"/>
  <c r="G22" i="3" s="1"/>
  <c r="G23" i="3" s="1"/>
  <c r="K21" i="3"/>
  <c r="K20" i="3"/>
  <c r="K22" i="3" s="1"/>
  <c r="K23" i="3" s="1"/>
  <c r="O21" i="3"/>
  <c r="O20" i="3"/>
  <c r="O22" i="3" s="1"/>
  <c r="O23" i="3" s="1"/>
  <c r="H21" i="3"/>
  <c r="H20" i="3"/>
  <c r="U21" i="3"/>
  <c r="U20" i="3"/>
  <c r="U22" i="3" s="1"/>
  <c r="U23" i="3" s="1"/>
  <c r="M20" i="3"/>
  <c r="M21" i="3"/>
  <c r="T21" i="3"/>
  <c r="T20" i="3"/>
  <c r="T22" i="3" s="1"/>
  <c r="T23" i="3" s="1"/>
  <c r="L20" i="3"/>
  <c r="L22" i="3" s="1"/>
  <c r="L23" i="3" s="1"/>
  <c r="L21" i="3"/>
  <c r="F20" i="3"/>
  <c r="F21" i="3"/>
  <c r="D21" i="3"/>
  <c r="D20" i="3"/>
  <c r="E21" i="3"/>
  <c r="E22" i="3" s="1"/>
  <c r="E23" i="3" s="1"/>
  <c r="C21" i="3"/>
  <c r="L30" i="3" l="1"/>
  <c r="L24" i="3"/>
  <c r="L27" i="3" s="1"/>
  <c r="H22" i="3"/>
  <c r="H23" i="3" s="1"/>
  <c r="I22" i="3"/>
  <c r="I23" i="3" s="1"/>
  <c r="V22" i="3"/>
  <c r="V23" i="3" s="1"/>
  <c r="N30" i="3"/>
  <c r="N24" i="3"/>
  <c r="P30" i="3"/>
  <c r="P24" i="3"/>
  <c r="P27" i="3" s="1"/>
  <c r="Q30" i="3"/>
  <c r="Q24" i="3"/>
  <c r="Q27" i="3" s="1"/>
  <c r="Q28" i="3" s="1"/>
  <c r="R30" i="3"/>
  <c r="R24" i="3"/>
  <c r="R27" i="3" s="1"/>
  <c r="M22" i="3"/>
  <c r="M23" i="3" s="1"/>
  <c r="T30" i="3"/>
  <c r="T24" i="3"/>
  <c r="G30" i="3"/>
  <c r="G24" i="3"/>
  <c r="J30" i="3"/>
  <c r="J24" i="3"/>
  <c r="J27" i="3" s="1"/>
  <c r="S30" i="3"/>
  <c r="S24" i="3"/>
  <c r="S27" i="3" s="1"/>
  <c r="O30" i="3"/>
  <c r="O24" i="3"/>
  <c r="O27" i="3" s="1"/>
  <c r="K30" i="3"/>
  <c r="K24" i="3"/>
  <c r="K27" i="3" s="1"/>
  <c r="U30" i="3"/>
  <c r="U24" i="3"/>
  <c r="U27" i="3" s="1"/>
  <c r="F22" i="3"/>
  <c r="F23" i="3" s="1"/>
  <c r="E24" i="3"/>
  <c r="D22" i="3"/>
  <c r="D23" i="3" s="1"/>
  <c r="F24" i="3" l="1"/>
  <c r="I30" i="3"/>
  <c r="I24" i="3"/>
  <c r="I27" i="3" s="1"/>
  <c r="I28" i="3" s="1"/>
  <c r="V30" i="3"/>
  <c r="V24" i="3"/>
  <c r="V27" i="3" s="1"/>
  <c r="V28" i="3" s="1"/>
  <c r="H30" i="3"/>
  <c r="H24" i="3"/>
  <c r="T27" i="3"/>
  <c r="M30" i="3"/>
  <c r="M24" i="3"/>
  <c r="G27" i="3"/>
  <c r="G28" i="3" s="1"/>
  <c r="N27" i="3"/>
  <c r="N28" i="3" s="1"/>
  <c r="S28" i="3"/>
  <c r="L28" i="3"/>
  <c r="O28" i="3"/>
  <c r="K28" i="3"/>
  <c r="U28" i="3"/>
  <c r="D24" i="3"/>
  <c r="R28" i="3"/>
  <c r="E30" i="3"/>
  <c r="T28" i="3"/>
  <c r="F30" i="3" l="1"/>
  <c r="M27" i="3"/>
  <c r="M28" i="3" s="1"/>
  <c r="H27" i="3"/>
  <c r="J28" i="3"/>
  <c r="P28" i="3"/>
  <c r="D30" i="3"/>
  <c r="E27" i="3"/>
  <c r="E28" i="3" s="1"/>
  <c r="H28" i="3"/>
  <c r="F27" i="3" l="1"/>
  <c r="F28" i="3" s="1"/>
  <c r="D27" i="3"/>
  <c r="D28" i="3" s="1"/>
  <c r="C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V8" i="1" l="1"/>
  <c r="V13" i="1"/>
  <c r="V16" i="1"/>
  <c r="V20" i="1"/>
  <c r="V21" i="1"/>
  <c r="V33" i="1"/>
  <c r="R8" i="1"/>
  <c r="S8" i="1"/>
  <c r="T8" i="1"/>
  <c r="U8" i="1"/>
  <c r="R13" i="1"/>
  <c r="S13" i="1"/>
  <c r="T13" i="1"/>
  <c r="U13" i="1"/>
  <c r="R16" i="1"/>
  <c r="S16" i="1"/>
  <c r="T16" i="1"/>
  <c r="U16" i="1"/>
  <c r="R20" i="1"/>
  <c r="S20" i="1"/>
  <c r="T20" i="1"/>
  <c r="U20" i="1"/>
  <c r="R21" i="1"/>
  <c r="S21" i="1"/>
  <c r="T21" i="1"/>
  <c r="U21" i="1"/>
  <c r="R33" i="1"/>
  <c r="S33" i="1"/>
  <c r="T33" i="1"/>
  <c r="U33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D33" i="1"/>
  <c r="E33" i="1"/>
  <c r="F33" i="1"/>
  <c r="H33" i="1"/>
  <c r="I33" i="1"/>
  <c r="J33" i="1"/>
  <c r="K33" i="1"/>
  <c r="L33" i="1"/>
  <c r="M33" i="1"/>
  <c r="N33" i="1"/>
  <c r="O33" i="1"/>
  <c r="P33" i="1"/>
  <c r="Q33" i="1"/>
  <c r="C8" i="1"/>
  <c r="L22" i="1" l="1"/>
  <c r="N22" i="1"/>
  <c r="N23" i="1" s="1"/>
  <c r="F22" i="1"/>
  <c r="C22" i="3"/>
  <c r="C23" i="3" s="1"/>
  <c r="D22" i="1"/>
  <c r="O22" i="1"/>
  <c r="G22" i="1"/>
  <c r="E22" i="1"/>
  <c r="M22" i="1"/>
  <c r="M23" i="1" s="1"/>
  <c r="U22" i="1"/>
  <c r="S22" i="1"/>
  <c r="V22" i="1"/>
  <c r="T22" i="1"/>
  <c r="K22" i="1"/>
  <c r="Q22" i="1"/>
  <c r="I22" i="1"/>
  <c r="R22" i="1"/>
  <c r="J22" i="1"/>
  <c r="P22" i="1"/>
  <c r="H22" i="1"/>
  <c r="N24" i="1"/>
  <c r="N25" i="1" s="1"/>
  <c r="C16" i="1"/>
  <c r="C13" i="1"/>
  <c r="C33" i="1"/>
  <c r="N26" i="1" l="1"/>
  <c r="N27" i="1"/>
  <c r="C24" i="3"/>
  <c r="C27" i="3" s="1"/>
  <c r="C28" i="3" s="1"/>
  <c r="N29" i="1"/>
  <c r="N30" i="1" s="1"/>
  <c r="N31" i="1" s="1"/>
  <c r="N28" i="1"/>
  <c r="Q23" i="1"/>
  <c r="Q24" i="1" s="1"/>
  <c r="Q25" i="1" s="1"/>
  <c r="G23" i="1"/>
  <c r="T23" i="1"/>
  <c r="T24" i="1" s="1"/>
  <c r="T25" i="1" s="1"/>
  <c r="K23" i="1"/>
  <c r="D23" i="1"/>
  <c r="H23" i="1"/>
  <c r="H24" i="1" s="1"/>
  <c r="H25" i="1" s="1"/>
  <c r="V23" i="1"/>
  <c r="V24" i="1" s="1"/>
  <c r="V25" i="1" s="1"/>
  <c r="O23" i="1"/>
  <c r="O24" i="1" s="1"/>
  <c r="O25" i="1" s="1"/>
  <c r="P23" i="1"/>
  <c r="S23" i="1"/>
  <c r="M24" i="1"/>
  <c r="M25" i="1" s="1"/>
  <c r="J23" i="1"/>
  <c r="U23" i="1"/>
  <c r="F23" i="1"/>
  <c r="F24" i="1" s="1"/>
  <c r="F25" i="1" s="1"/>
  <c r="R23" i="1"/>
  <c r="R24" i="1" s="1"/>
  <c r="R25" i="1" s="1"/>
  <c r="I23" i="1"/>
  <c r="E23" i="1"/>
  <c r="L23" i="1"/>
  <c r="C30" i="3" l="1"/>
  <c r="O27" i="1"/>
  <c r="O26" i="1"/>
  <c r="T26" i="1"/>
  <c r="T27" i="1"/>
  <c r="T28" i="1" s="1"/>
  <c r="F27" i="1"/>
  <c r="F28" i="1" s="1"/>
  <c r="F29" i="1"/>
  <c r="F30" i="1" s="1"/>
  <c r="F31" i="1" s="1"/>
  <c r="F26" i="1"/>
  <c r="M26" i="1"/>
  <c r="M27" i="1"/>
  <c r="Q26" i="1"/>
  <c r="Q27" i="1"/>
  <c r="R26" i="1"/>
  <c r="R27" i="1"/>
  <c r="R28" i="1" s="1"/>
  <c r="H27" i="1"/>
  <c r="H28" i="1" s="1"/>
  <c r="H26" i="1"/>
  <c r="V26" i="1"/>
  <c r="V27" i="1"/>
  <c r="T29" i="1"/>
  <c r="T30" i="1" s="1"/>
  <c r="T31" i="1" s="1"/>
  <c r="Q28" i="1"/>
  <c r="Q29" i="1"/>
  <c r="Q30" i="1" s="1"/>
  <c r="Q31" i="1" s="1"/>
  <c r="O28" i="1"/>
  <c r="O29" i="1"/>
  <c r="O30" i="1" s="1"/>
  <c r="O31" i="1" s="1"/>
  <c r="R29" i="1"/>
  <c r="R30" i="1" s="1"/>
  <c r="R31" i="1" s="1"/>
  <c r="V29" i="1"/>
  <c r="V30" i="1" s="1"/>
  <c r="V31" i="1" s="1"/>
  <c r="M28" i="1"/>
  <c r="M29" i="1"/>
  <c r="M30" i="1" s="1"/>
  <c r="M31" i="1" s="1"/>
  <c r="H29" i="1"/>
  <c r="H30" i="1" s="1"/>
  <c r="H31" i="1" s="1"/>
  <c r="G24" i="1"/>
  <c r="G25" i="1" s="1"/>
  <c r="U24" i="1"/>
  <c r="U25" i="1" s="1"/>
  <c r="E24" i="1"/>
  <c r="E25" i="1" s="1"/>
  <c r="K24" i="1"/>
  <c r="K25" i="1" s="1"/>
  <c r="I24" i="1"/>
  <c r="I25" i="1" s="1"/>
  <c r="V28" i="1"/>
  <c r="J24" i="1"/>
  <c r="J25" i="1" s="1"/>
  <c r="C27" i="1"/>
  <c r="S24" i="1"/>
  <c r="S25" i="1" s="1"/>
  <c r="L24" i="1"/>
  <c r="L25" i="1" s="1"/>
  <c r="P24" i="1"/>
  <c r="P25" i="1" s="1"/>
  <c r="D24" i="1"/>
  <c r="D25" i="1" s="1"/>
  <c r="G27" i="1" l="1"/>
  <c r="G26" i="1"/>
  <c r="S26" i="1"/>
  <c r="S27" i="1"/>
  <c r="J26" i="1"/>
  <c r="J27" i="1"/>
  <c r="L26" i="1"/>
  <c r="L27" i="1"/>
  <c r="L28" i="1" s="1"/>
  <c r="P27" i="1"/>
  <c r="P26" i="1"/>
  <c r="U26" i="1"/>
  <c r="U27" i="1"/>
  <c r="U28" i="1" s="1"/>
  <c r="D26" i="1"/>
  <c r="D27" i="1"/>
  <c r="I26" i="1"/>
  <c r="I27" i="1"/>
  <c r="I28" i="1" s="1"/>
  <c r="K26" i="1"/>
  <c r="K27" i="1"/>
  <c r="E26" i="1"/>
  <c r="E27" i="1"/>
  <c r="D28" i="1"/>
  <c r="D29" i="1"/>
  <c r="D30" i="1" s="1"/>
  <c r="D31" i="1" s="1"/>
  <c r="J28" i="1"/>
  <c r="J29" i="1"/>
  <c r="J30" i="1" s="1"/>
  <c r="J31" i="1" s="1"/>
  <c r="U29" i="1"/>
  <c r="U30" i="1" s="1"/>
  <c r="U31" i="1" s="1"/>
  <c r="L29" i="1"/>
  <c r="L30" i="1" s="1"/>
  <c r="L31" i="1" s="1"/>
  <c r="K28" i="1"/>
  <c r="K29" i="1"/>
  <c r="K30" i="1" s="1"/>
  <c r="K31" i="1" s="1"/>
  <c r="S28" i="1"/>
  <c r="S29" i="1"/>
  <c r="S30" i="1" s="1"/>
  <c r="S31" i="1" s="1"/>
  <c r="P28" i="1"/>
  <c r="P29" i="1"/>
  <c r="P30" i="1" s="1"/>
  <c r="P31" i="1" s="1"/>
  <c r="I29" i="1"/>
  <c r="I30" i="1" s="1"/>
  <c r="I31" i="1" s="1"/>
  <c r="G28" i="1"/>
  <c r="G29" i="1"/>
  <c r="G30" i="1" s="1"/>
  <c r="G31" i="1" s="1"/>
  <c r="E28" i="1"/>
  <c r="E29" i="1"/>
  <c r="E30" i="1" s="1"/>
  <c r="E31" i="1" s="1"/>
  <c r="C28" i="1"/>
  <c r="C30" i="1"/>
  <c r="C31" i="1" s="1"/>
</calcChain>
</file>

<file path=xl/sharedStrings.xml><?xml version="1.0" encoding="utf-8"?>
<sst xmlns="http://schemas.openxmlformats.org/spreadsheetml/2006/main" count="185" uniqueCount="109">
  <si>
    <t>Bemessungsabfluss</t>
  </si>
  <si>
    <t>nein</t>
  </si>
  <si>
    <t>mittel</t>
  </si>
  <si>
    <t>erforderliches Schutzziel</t>
  </si>
  <si>
    <t>Sonderrisikoobjekte vorhanden</t>
  </si>
  <si>
    <t>massgebende Schwachstelle</t>
  </si>
  <si>
    <t>gewählte Gerinnesohlenbreite</t>
  </si>
  <si>
    <t>Abschnitt</t>
  </si>
  <si>
    <t>[ja, nein]</t>
  </si>
  <si>
    <t>gewählter Rauhigkeitsbeiwert</t>
  </si>
  <si>
    <t>gewählte Wassertiefe</t>
  </si>
  <si>
    <t>Abflussquerschnitt</t>
  </si>
  <si>
    <t>benetzter Umfang</t>
  </si>
  <si>
    <t>Hydraulischer Radius</t>
  </si>
  <si>
    <t>Freibord nach AWEL</t>
  </si>
  <si>
    <t>erforderliche Eintiefung</t>
  </si>
  <si>
    <t>vorhandene Eintiefung</t>
  </si>
  <si>
    <t>Gerinnegeometrie und Rauhigkeit</t>
  </si>
  <si>
    <t>Hydraulik und Freibord</t>
  </si>
  <si>
    <t>Hydrologie und Schutzziel</t>
  </si>
  <si>
    <t>[HQ100 / HQ300]</t>
  </si>
  <si>
    <r>
      <t>[m</t>
    </r>
    <r>
      <rPr>
        <vertAlign val="superscript"/>
        <sz val="10"/>
        <color theme="1"/>
        <rFont val="Arial"/>
        <family val="2"/>
        <scheme val="minor"/>
      </rPr>
      <t>3</t>
    </r>
    <r>
      <rPr>
        <sz val="10"/>
        <color theme="1"/>
        <rFont val="Arial"/>
        <family val="2"/>
        <scheme val="minor"/>
      </rPr>
      <t>/s]</t>
    </r>
  </si>
  <si>
    <t>[m]</t>
  </si>
  <si>
    <r>
      <t>[</t>
    </r>
    <r>
      <rPr>
        <sz val="10"/>
        <color theme="1"/>
        <rFont val="Arial"/>
        <family val="2"/>
      </rPr>
      <t>−]</t>
    </r>
  </si>
  <si>
    <t>erforderlicher Gewässerraum</t>
  </si>
  <si>
    <t>[m/s]</t>
  </si>
  <si>
    <r>
      <t>[m</t>
    </r>
    <r>
      <rPr>
        <vertAlign val="superscript"/>
        <sz val="10"/>
        <color theme="1"/>
        <rFont val="Arial"/>
        <family val="2"/>
        <scheme val="minor"/>
      </rPr>
      <t>2</t>
    </r>
    <r>
      <rPr>
        <sz val="10"/>
        <color theme="1"/>
        <rFont val="Arial"/>
        <family val="2"/>
        <scheme val="minor"/>
      </rPr>
      <t>]</t>
    </r>
  </si>
  <si>
    <t>Prüfung Kriterium "Gerinnesohlenbreite"</t>
  </si>
  <si>
    <t>Prüfung Kriterium "Rauhigkeitsbeiwert"</t>
  </si>
  <si>
    <t>Prüfung Kriterium "Abflusskapazität"</t>
  </si>
  <si>
    <t>Prüfung Kriterium "Eintiefung"</t>
  </si>
  <si>
    <r>
      <t>[15 bis 45 m</t>
    </r>
    <r>
      <rPr>
        <vertAlign val="superscript"/>
        <sz val="10"/>
        <color theme="1"/>
        <rFont val="Arial"/>
        <family val="2"/>
        <scheme val="minor"/>
      </rPr>
      <t>1/3</t>
    </r>
    <r>
      <rPr>
        <sz val="10"/>
        <color theme="1"/>
        <rFont val="Arial"/>
        <family val="2"/>
        <scheme val="minor"/>
      </rPr>
      <t>/s]</t>
    </r>
  </si>
  <si>
    <t>[null, klein, mittel, gross]</t>
  </si>
  <si>
    <t>[gemäss Gefahrenkarte]</t>
  </si>
  <si>
    <t>Offene Abschnitte bzw. Abschnitte mit Öffnungspotenzial</t>
  </si>
  <si>
    <t>massgebendes Risiko</t>
  </si>
  <si>
    <t>Kriterium "Schutzziel"</t>
  </si>
  <si>
    <t>Kriterium "Gerinnesohlenbreite"</t>
  </si>
  <si>
    <t>Kriterium "Rauhigkeitsbeiwert"</t>
  </si>
  <si>
    <t>Kriterium "Abflusskapazität"</t>
  </si>
  <si>
    <t>Kriterium "Eintiefung"</t>
  </si>
  <si>
    <t>1. Schutzziel und Bemessungsabfluss wählen</t>
  </si>
  <si>
    <t>bestehende Gerinnesohlenbreite</t>
  </si>
  <si>
    <t>bestehendes Längsgefälle</t>
  </si>
  <si>
    <t>die gewählte Gerinnesohlenbreite muss mindestens der bestehenden Gerinnesohlenbreite entsprechen</t>
  </si>
  <si>
    <t>2. als Startwert gewählte Gerinnesohlenbreite = bestehende Gerinnesohlenbreite wählen</t>
  </si>
  <si>
    <t>die Abflusskapazität muss mindestens dem Bemessungsabfluss entsprechen</t>
  </si>
  <si>
    <r>
      <t>der Rauhigkeitbeiwert muss zwischen 15 und 45 m</t>
    </r>
    <r>
      <rPr>
        <vertAlign val="superscript"/>
        <sz val="10"/>
        <color theme="1"/>
        <rFont val="Arial"/>
        <family val="2"/>
        <scheme val="minor"/>
      </rPr>
      <t>1/3</t>
    </r>
    <r>
      <rPr>
        <sz val="10"/>
        <color theme="1"/>
        <rFont val="Arial"/>
        <family val="2"/>
        <scheme val="minor"/>
      </rPr>
      <t>/s liegen</t>
    </r>
  </si>
  <si>
    <t>Es wird folgendes Vorgehen für offene Abschnitte bzw. Abschnitte mit Öffnungspotenzial empfohlen:</t>
  </si>
  <si>
    <t>4. als Startwert Wassertiefe = vorhandene Eintiefung - 0.5 m wählen</t>
  </si>
  <si>
    <t>Die Froude-Zahl wird vereinfacht als F = v/(g*h)^0.5 berechnet (anstatt F = v/(g*A/bw)^0.5)</t>
  </si>
  <si>
    <t>Dolengeometrie und Rauhigkeit</t>
  </si>
  <si>
    <t>Hydraulik und Teilfüllung</t>
  </si>
  <si>
    <t>Minimale Eingriffsbreite</t>
  </si>
  <si>
    <r>
      <t>[</t>
    </r>
    <r>
      <rPr>
        <sz val="10"/>
        <color theme="1"/>
        <rFont val="Arial"/>
        <family val="2"/>
      </rPr>
      <t>%]</t>
    </r>
  </si>
  <si>
    <t>Erläuterungen zu den Prüfkriterien für offene Abschnitte bzw. Abschnitte mit Öffnungspotenzial</t>
  </si>
  <si>
    <t>Erläuterungen zu den Prüfkriterien für eingedolte Abschnitte ohne Öffnungspotenzial</t>
  </si>
  <si>
    <t>Eingedolte Abschnitte ohne Öffnungspotenzial</t>
  </si>
  <si>
    <r>
      <t>der Rauhigkeitbeiwert muss zwischen 50 und 90 m</t>
    </r>
    <r>
      <rPr>
        <vertAlign val="superscript"/>
        <sz val="10"/>
        <color theme="1"/>
        <rFont val="Arial"/>
        <family val="2"/>
        <scheme val="minor"/>
      </rPr>
      <t>1/3</t>
    </r>
    <r>
      <rPr>
        <sz val="10"/>
        <color theme="1"/>
        <rFont val="Arial"/>
        <family val="2"/>
        <scheme val="minor"/>
      </rPr>
      <t>/s liegen</t>
    </r>
  </si>
  <si>
    <t>Hinweise für offene Abschnitte bzw. Abschnitte mit Öffnungspotenzial</t>
  </si>
  <si>
    <t>Hinweise für eingedolte Abschnitte ohne Öffnungspotenzial</t>
  </si>
  <si>
    <t>Es wird folgendes Vorgehen für eingedolte Abschnitte ohne Öffnungspotenzial empfohlen:</t>
  </si>
  <si>
    <t>3. Rauhigkeitsbeiwert wählen</t>
  </si>
  <si>
    <t>4. Dolendurchmesser und allenfalls Rauhigkeitsbeiwert erhöhen, bis das Kriterium "Abflusskapazität" erfüllt ist</t>
  </si>
  <si>
    <t>Dorf-1</t>
  </si>
  <si>
    <t>Dorf-2</t>
  </si>
  <si>
    <t>Dorf-3</t>
  </si>
  <si>
    <t>Dorf-4</t>
  </si>
  <si>
    <t>D1</t>
  </si>
  <si>
    <t>D2</t>
  </si>
  <si>
    <t>D3</t>
  </si>
  <si>
    <t>D4</t>
  </si>
  <si>
    <t>klein</t>
  </si>
  <si>
    <t>ja</t>
  </si>
  <si>
    <t>gross</t>
  </si>
  <si>
    <t>null</t>
  </si>
  <si>
    <t>5. falls ein Prüfkriterium der Hydraulik nicht erfüllt wird: iterativ folgende Parameter anpassen / optimieren:</t>
  </si>
  <si>
    <t>Von Dammsituationen wird abgeraten, da ausgeufertes Hochwasser und Oberflächenabfluss nicht mehr ins Gerinne zurückfliessen können.</t>
  </si>
  <si>
    <t>Es werden keine Dammsituationen berücksichtigt.</t>
  </si>
  <si>
    <t>massgebende Fliessgeschwindigkeit (Froude-Zahl ≤ 0.9)</t>
  </si>
  <si>
    <t>theoretische Fliessgeschwindigkeit</t>
  </si>
  <si>
    <t>theoretische Froude-Zahl</t>
  </si>
  <si>
    <t xml:space="preserve">    - falls Kriterium "Eintiefung" nicht erfüllt ist: gewählte Wassertiefe reduzieren</t>
  </si>
  <si>
    <t>Eingabefelder sind hellblau markiert.</t>
  </si>
  <si>
    <t>Der Gewässerraum wird aufgrund der vorhandenen Eintiefung und gewählten Gerinnesohlenbreite mit einem beidseitigen Unterhaltsstreifen à 3 m berechnet.</t>
  </si>
  <si>
    <t>Teilfüllungsgrad</t>
  </si>
  <si>
    <t>Fliesstiefe bei Teilfüllung</t>
  </si>
  <si>
    <t>massgebende Fliessgeschwindigkeit (≤ 5 m/s)</t>
  </si>
  <si>
    <t>massgebende Abflusskapazität</t>
  </si>
  <si>
    <t>die minimale Eingriffsbreite wird auf 0.5 m aufgerundet</t>
  </si>
  <si>
    <t>der Teilfüllungsgrad bei steilen (&gt; 2 %) Dolen beträgt maximal 60 %, ansonsten maximal 85 %</t>
  </si>
  <si>
    <t>massgebendes Längsgefälle</t>
  </si>
  <si>
    <t>die vorhandene Eintiefung muss grösser oder gleich der erforderlichen Eintiefung sein (minimale Eintiefung von 1 m zulässig)</t>
  </si>
  <si>
    <t>massgebender Abflussquerschnitt Teilfüllung</t>
  </si>
  <si>
    <r>
      <t>[50 bis 90 m</t>
    </r>
    <r>
      <rPr>
        <vertAlign val="superscript"/>
        <sz val="10"/>
        <color theme="1"/>
        <rFont val="Arial"/>
        <family val="2"/>
        <scheme val="minor"/>
      </rPr>
      <t>1/3</t>
    </r>
    <r>
      <rPr>
        <sz val="10"/>
        <color theme="1"/>
        <rFont val="Arial"/>
        <family val="2"/>
        <scheme val="minor"/>
      </rPr>
      <t>/s]</t>
    </r>
  </si>
  <si>
    <t xml:space="preserve">    - falls Kriterium "Abflusskapazität" nicht erfüllt ist: gewählte Gerinnesohlenbreite erhöhen (Gefälle wird automatisch angepasst)</t>
  </si>
  <si>
    <r>
      <t>bei einem mittleren oder grossen Risiko oder Sonderrisikoobjekten muss das Schutzziel HQ</t>
    </r>
    <r>
      <rPr>
        <vertAlign val="subscript"/>
        <sz val="10"/>
        <color theme="1"/>
        <rFont val="Arial"/>
        <family val="2"/>
        <scheme val="minor"/>
      </rPr>
      <t>300</t>
    </r>
    <r>
      <rPr>
        <sz val="10"/>
        <color theme="1"/>
        <rFont val="Arial"/>
        <family val="2"/>
        <scheme val="minor"/>
      </rPr>
      <t xml:space="preserve"> gewählt werden</t>
    </r>
  </si>
  <si>
    <t>Hochwasserschutzbreite mit zwei Unterhaltsstreifen à 3 m</t>
  </si>
  <si>
    <t>Startwert Dolendurchmesser</t>
  </si>
  <si>
    <t>bestehende Dolendurchmesser</t>
  </si>
  <si>
    <t>2. als Startwert gewählter Dolendurchmesser = bestehender Dolendurchmesser wählen</t>
  </si>
  <si>
    <t>5. Falls die Fliessgeschwindigkeit &gt; 5 m/s beträgt, wird diese automatisch auf 5 m/s reduziert und der massgebende Dolendurchmesser berechnet</t>
  </si>
  <si>
    <t>Prüfung Kriterium "Dolendurchmesser"</t>
  </si>
  <si>
    <t>Kriterium "Dolendurchmesser"</t>
  </si>
  <si>
    <t>der gewählte Dolendurchmesser muss mindestens dem bestehenden Dolendurchmesser entsprechen</t>
  </si>
  <si>
    <t>Massgebender Dolendurchmesser</t>
  </si>
  <si>
    <r>
      <rPr>
        <b/>
        <sz val="10"/>
        <color theme="1"/>
        <rFont val="Arial"/>
        <family val="2"/>
        <scheme val="minor"/>
      </rPr>
      <t>Fettwerte</t>
    </r>
    <r>
      <rPr>
        <sz val="10"/>
        <color theme="1"/>
        <rFont val="Arial"/>
        <family val="2"/>
        <scheme val="minor"/>
      </rPr>
      <t xml:space="preserve"> sind in Anhang A3 (Exceltabelle "Herleitung und Resultate") zu übertragen</t>
    </r>
  </si>
  <si>
    <t>hohe Fliessgeschwindigkeiten (z.B. über 5 m/s in einer Eindolung) sind kritisch zu hinterfragen</t>
  </si>
  <si>
    <r>
      <t xml:space="preserve">Vorlage Hochwasserschutz-Nachweise für die Festlegung der Gewässerräume im Rahmen des vereinfachten Verfahrens </t>
    </r>
    <r>
      <rPr>
        <b/>
        <sz val="12"/>
        <color rgb="FFFF0000"/>
        <rFont val="Arial"/>
        <family val="2"/>
        <scheme val="minor"/>
      </rPr>
      <t>nach § 16 WsV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</si>
</sst>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vertAlign val="superscript"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rgb="FF00B0F0"/>
      <name val="Arial"/>
      <family val="2"/>
      <scheme val="minor"/>
    </font>
    <font>
      <sz val="11"/>
      <color rgb="FF00B0F0"/>
      <name val="Arial"/>
      <family val="2"/>
      <scheme val="minor"/>
    </font>
    <font>
      <vertAlign val="subscript"/>
      <sz val="10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2" fontId="3" fillId="2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2" fontId="3" fillId="0" borderId="2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9" fontId="2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7" fillId="0" borderId="0" xfId="0" applyFont="1"/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4" borderId="2" xfId="0" applyNumberFormat="1" applyFont="1" applyFill="1" applyBorder="1" applyAlignment="1">
      <alignment vertical="center"/>
    </xf>
    <xf numFmtId="1" fontId="3" fillId="4" borderId="3" xfId="0" applyNumberFormat="1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</cellXfs>
  <cellStyles count="1"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HZ">
  <a:themeElements>
    <a:clrScheme name="BHZ">
      <a:dk1>
        <a:srgbClr val="000000"/>
      </a:dk1>
      <a:lt1>
        <a:srgbClr val="FFFFFF"/>
      </a:lt1>
      <a:dk2>
        <a:srgbClr val="B46EAF"/>
      </a:dk2>
      <a:lt2>
        <a:srgbClr val="965096"/>
      </a:lt2>
      <a:accent1>
        <a:srgbClr val="82C3EB"/>
      </a:accent1>
      <a:accent2>
        <a:srgbClr val="50AAE1"/>
      </a:accent2>
      <a:accent3>
        <a:srgbClr val="A0CD5F"/>
      </a:accent3>
      <a:accent4>
        <a:srgbClr val="6EB946"/>
      </a:accent4>
      <a:accent5>
        <a:srgbClr val="F5A04B"/>
      </a:accent5>
      <a:accent6>
        <a:srgbClr val="EB6932"/>
      </a:accent6>
      <a:hlink>
        <a:srgbClr val="50AAE1"/>
      </a:hlink>
      <a:folHlink>
        <a:srgbClr val="327DAA"/>
      </a:folHlink>
    </a:clrScheme>
    <a:fontScheme name="BHZ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sz="100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rtlCol="0">
        <a:spAutoFit/>
      </a:bodyPr>
      <a:lstStyle>
        <a:defPPr>
          <a:defRPr sz="1000" smtClean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abSelected="1" workbookViewId="0">
      <selection activeCell="B6" sqref="B6"/>
    </sheetView>
  </sheetViews>
  <sheetFormatPr baseColWidth="10" defaultColWidth="10.59765625" defaultRowHeight="15" customHeight="1" x14ac:dyDescent="0.25"/>
  <cols>
    <col min="1" max="1" width="28.8984375" style="1" customWidth="1"/>
    <col min="2" max="2" width="90.3984375" style="1" customWidth="1"/>
    <col min="3" max="16384" width="10.59765625" style="1"/>
  </cols>
  <sheetData>
    <row r="1" spans="1:1" ht="15" customHeight="1" x14ac:dyDescent="0.25">
      <c r="A1" s="7" t="s">
        <v>108</v>
      </c>
    </row>
    <row r="3" spans="1:1" ht="15" customHeight="1" x14ac:dyDescent="0.25">
      <c r="A3" s="25" t="s">
        <v>83</v>
      </c>
    </row>
    <row r="4" spans="1:1" ht="15" customHeight="1" x14ac:dyDescent="0.25">
      <c r="A4" s="1" t="s">
        <v>106</v>
      </c>
    </row>
    <row r="6" spans="1:1" ht="15" customHeight="1" x14ac:dyDescent="0.25">
      <c r="A6" s="3" t="s">
        <v>59</v>
      </c>
    </row>
    <row r="8" spans="1:1" ht="15" customHeight="1" x14ac:dyDescent="0.25">
      <c r="A8" s="1" t="s">
        <v>48</v>
      </c>
    </row>
    <row r="9" spans="1:1" ht="15" customHeight="1" x14ac:dyDescent="0.25">
      <c r="A9" s="1" t="s">
        <v>41</v>
      </c>
    </row>
    <row r="10" spans="1:1" ht="15" customHeight="1" x14ac:dyDescent="0.25">
      <c r="A10" s="1" t="s">
        <v>45</v>
      </c>
    </row>
    <row r="11" spans="1:1" ht="15" customHeight="1" x14ac:dyDescent="0.25">
      <c r="A11" s="1" t="s">
        <v>49</v>
      </c>
    </row>
    <row r="12" spans="1:1" ht="15" customHeight="1" x14ac:dyDescent="0.25">
      <c r="A12" s="1" t="s">
        <v>76</v>
      </c>
    </row>
    <row r="13" spans="1:1" ht="15" customHeight="1" x14ac:dyDescent="0.25">
      <c r="A13" s="1" t="s">
        <v>82</v>
      </c>
    </row>
    <row r="14" spans="1:1" ht="15" customHeight="1" x14ac:dyDescent="0.25">
      <c r="A14" s="1" t="s">
        <v>95</v>
      </c>
    </row>
    <row r="16" spans="1:1" ht="15" customHeight="1" x14ac:dyDescent="0.25">
      <c r="A16" s="1" t="s">
        <v>50</v>
      </c>
    </row>
    <row r="18" spans="1:2" ht="15" customHeight="1" x14ac:dyDescent="0.25">
      <c r="A18" s="1" t="s">
        <v>84</v>
      </c>
    </row>
    <row r="20" spans="1:2" ht="15" customHeight="1" x14ac:dyDescent="0.25">
      <c r="A20" s="1" t="s">
        <v>78</v>
      </c>
    </row>
    <row r="21" spans="1:2" ht="15" customHeight="1" x14ac:dyDescent="0.25">
      <c r="A21" s="1" t="s">
        <v>77</v>
      </c>
    </row>
    <row r="22" spans="1:2" s="3" customFormat="1" ht="15" customHeight="1" x14ac:dyDescent="0.25">
      <c r="A22" s="1"/>
    </row>
    <row r="23" spans="1:2" s="3" customFormat="1" ht="15" customHeight="1" x14ac:dyDescent="0.25">
      <c r="A23" s="3" t="s">
        <v>55</v>
      </c>
    </row>
    <row r="25" spans="1:2" ht="15" customHeight="1" x14ac:dyDescent="0.25">
      <c r="A25" s="1" t="s">
        <v>36</v>
      </c>
      <c r="B25" s="1" t="s">
        <v>96</v>
      </c>
    </row>
    <row r="26" spans="1:2" ht="15" customHeight="1" x14ac:dyDescent="0.25">
      <c r="A26" s="1" t="s">
        <v>37</v>
      </c>
      <c r="B26" s="1" t="s">
        <v>44</v>
      </c>
    </row>
    <row r="27" spans="1:2" ht="15" customHeight="1" x14ac:dyDescent="0.25">
      <c r="A27" s="1" t="s">
        <v>38</v>
      </c>
      <c r="B27" s="1" t="s">
        <v>47</v>
      </c>
    </row>
    <row r="28" spans="1:2" ht="15" customHeight="1" x14ac:dyDescent="0.25">
      <c r="A28" s="1" t="s">
        <v>39</v>
      </c>
      <c r="B28" s="1" t="s">
        <v>46</v>
      </c>
    </row>
    <row r="29" spans="1:2" ht="15" customHeight="1" x14ac:dyDescent="0.25">
      <c r="A29" s="1" t="s">
        <v>40</v>
      </c>
      <c r="B29" s="1" t="s">
        <v>92</v>
      </c>
    </row>
    <row r="31" spans="1:2" ht="15" customHeight="1" x14ac:dyDescent="0.25">
      <c r="A31" s="3" t="s">
        <v>60</v>
      </c>
    </row>
    <row r="33" spans="1:2" ht="15" customHeight="1" x14ac:dyDescent="0.25">
      <c r="A33" s="1" t="s">
        <v>61</v>
      </c>
    </row>
    <row r="34" spans="1:2" ht="15" customHeight="1" x14ac:dyDescent="0.25">
      <c r="A34" s="1" t="s">
        <v>41</v>
      </c>
    </row>
    <row r="35" spans="1:2" ht="15" customHeight="1" x14ac:dyDescent="0.25">
      <c r="A35" s="1" t="s">
        <v>100</v>
      </c>
    </row>
    <row r="36" spans="1:2" ht="15" customHeight="1" x14ac:dyDescent="0.25">
      <c r="A36" s="1" t="s">
        <v>62</v>
      </c>
    </row>
    <row r="37" spans="1:2" ht="15" customHeight="1" x14ac:dyDescent="0.25">
      <c r="A37" s="1" t="s">
        <v>63</v>
      </c>
    </row>
    <row r="38" spans="1:2" ht="15" customHeight="1" x14ac:dyDescent="0.25">
      <c r="A38" s="1" t="s">
        <v>101</v>
      </c>
    </row>
    <row r="40" spans="1:2" ht="15" customHeight="1" x14ac:dyDescent="0.25">
      <c r="A40" s="1" t="s">
        <v>89</v>
      </c>
    </row>
    <row r="42" spans="1:2" ht="15" customHeight="1" x14ac:dyDescent="0.25">
      <c r="A42" s="1" t="s">
        <v>90</v>
      </c>
    </row>
    <row r="43" spans="1:2" ht="15" customHeight="1" x14ac:dyDescent="0.25">
      <c r="A43" s="1" t="s">
        <v>107</v>
      </c>
    </row>
    <row r="45" spans="1:2" ht="15" customHeight="1" x14ac:dyDescent="0.25">
      <c r="A45" s="3" t="s">
        <v>56</v>
      </c>
    </row>
    <row r="47" spans="1:2" ht="15" customHeight="1" x14ac:dyDescent="0.25">
      <c r="A47" s="1" t="s">
        <v>103</v>
      </c>
      <c r="B47" s="1" t="s">
        <v>104</v>
      </c>
    </row>
    <row r="48" spans="1:2" ht="15" customHeight="1" x14ac:dyDescent="0.25">
      <c r="A48" s="1" t="s">
        <v>38</v>
      </c>
      <c r="B48" s="1" t="s">
        <v>58</v>
      </c>
    </row>
    <row r="49" spans="1:2" ht="15" customHeight="1" x14ac:dyDescent="0.25">
      <c r="A49" s="1" t="s">
        <v>39</v>
      </c>
      <c r="B49" s="1" t="s">
        <v>46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zoomScaleNormal="100" workbookViewId="0">
      <selection activeCell="B53" sqref="B53"/>
    </sheetView>
  </sheetViews>
  <sheetFormatPr baseColWidth="10" defaultColWidth="8.69921875" defaultRowHeight="15" customHeight="1" x14ac:dyDescent="0.25"/>
  <cols>
    <col min="1" max="1" width="48.09765625" style="1" customWidth="1"/>
    <col min="2" max="2" width="20" style="1" customWidth="1"/>
    <col min="3" max="3" width="8.69921875" style="2"/>
    <col min="4" max="16384" width="8.69921875" style="1"/>
  </cols>
  <sheetData>
    <row r="1" spans="1:22" ht="15" customHeight="1" x14ac:dyDescent="0.25">
      <c r="A1" s="7" t="s">
        <v>34</v>
      </c>
    </row>
    <row r="3" spans="1:22" s="3" customFormat="1" ht="15" customHeight="1" x14ac:dyDescent="0.25">
      <c r="A3" s="29" t="s">
        <v>7</v>
      </c>
      <c r="B3" s="30"/>
      <c r="C3" s="26" t="s">
        <v>64</v>
      </c>
      <c r="D3" s="8" t="s">
        <v>65</v>
      </c>
      <c r="E3" s="8" t="s">
        <v>66</v>
      </c>
      <c r="F3" s="8" t="s">
        <v>67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3" customFormat="1" ht="15" customHeight="1" x14ac:dyDescent="0.25">
      <c r="A4" s="27" t="s">
        <v>19</v>
      </c>
      <c r="B4" s="28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ht="15" customHeight="1" x14ac:dyDescent="0.25">
      <c r="A5" s="12" t="s">
        <v>5</v>
      </c>
      <c r="B5" s="13" t="s">
        <v>33</v>
      </c>
      <c r="C5" s="9" t="s">
        <v>68</v>
      </c>
      <c r="D5" s="9" t="s">
        <v>69</v>
      </c>
      <c r="E5" s="9" t="s">
        <v>70</v>
      </c>
      <c r="F5" s="9" t="s">
        <v>71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5" customHeight="1" x14ac:dyDescent="0.25">
      <c r="A6" s="12" t="s">
        <v>35</v>
      </c>
      <c r="B6" s="13" t="s">
        <v>32</v>
      </c>
      <c r="C6" s="9" t="s">
        <v>2</v>
      </c>
      <c r="D6" s="9" t="s">
        <v>72</v>
      </c>
      <c r="E6" s="9" t="s">
        <v>74</v>
      </c>
      <c r="F6" s="9" t="s">
        <v>75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5" customHeight="1" x14ac:dyDescent="0.25">
      <c r="A7" s="12" t="s">
        <v>4</v>
      </c>
      <c r="B7" s="13" t="s">
        <v>8</v>
      </c>
      <c r="C7" s="9" t="s">
        <v>1</v>
      </c>
      <c r="D7" s="9" t="s">
        <v>73</v>
      </c>
      <c r="E7" s="9" t="s">
        <v>1</v>
      </c>
      <c r="F7" s="9" t="s">
        <v>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5" customHeight="1" x14ac:dyDescent="0.25">
      <c r="A8" s="12" t="s">
        <v>3</v>
      </c>
      <c r="B8" s="13" t="s">
        <v>20</v>
      </c>
      <c r="C8" s="10" t="str">
        <f>IF(AND(OR(C6="null",C6="klein"),C7="nein"),"HQ100","HQ300")</f>
        <v>HQ300</v>
      </c>
      <c r="D8" s="10" t="str">
        <f t="shared" ref="D8:Q8" si="0">IF(AND(OR(D6="null",D6="klein"),D7="nein"),"HQ100","HQ300")</f>
        <v>HQ300</v>
      </c>
      <c r="E8" s="10" t="str">
        <f t="shared" si="0"/>
        <v>HQ300</v>
      </c>
      <c r="F8" s="10" t="str">
        <f t="shared" si="0"/>
        <v>HQ100</v>
      </c>
      <c r="G8" s="10" t="str">
        <f t="shared" si="0"/>
        <v>HQ300</v>
      </c>
      <c r="H8" s="10" t="str">
        <f t="shared" si="0"/>
        <v>HQ300</v>
      </c>
      <c r="I8" s="10" t="str">
        <f t="shared" si="0"/>
        <v>HQ300</v>
      </c>
      <c r="J8" s="10" t="str">
        <f t="shared" si="0"/>
        <v>HQ300</v>
      </c>
      <c r="K8" s="10" t="str">
        <f t="shared" si="0"/>
        <v>HQ300</v>
      </c>
      <c r="L8" s="10" t="str">
        <f t="shared" si="0"/>
        <v>HQ300</v>
      </c>
      <c r="M8" s="10" t="str">
        <f t="shared" si="0"/>
        <v>HQ300</v>
      </c>
      <c r="N8" s="10" t="str">
        <f t="shared" si="0"/>
        <v>HQ300</v>
      </c>
      <c r="O8" s="10" t="str">
        <f t="shared" si="0"/>
        <v>HQ300</v>
      </c>
      <c r="P8" s="10" t="str">
        <f t="shared" si="0"/>
        <v>HQ300</v>
      </c>
      <c r="Q8" s="10" t="str">
        <f t="shared" si="0"/>
        <v>HQ300</v>
      </c>
      <c r="R8" s="10" t="str">
        <f t="shared" ref="R8" si="1">IF(AND(OR(R6="null",R6="klein"),R7="nein"),"HQ100","HQ300")</f>
        <v>HQ300</v>
      </c>
      <c r="S8" s="10" t="str">
        <f t="shared" ref="S8" si="2">IF(AND(OR(S6="null",S6="klein"),S7="nein"),"HQ100","HQ300")</f>
        <v>HQ300</v>
      </c>
      <c r="T8" s="10" t="str">
        <f t="shared" ref="T8" si="3">IF(AND(OR(T6="null",T6="klein"),T7="nein"),"HQ100","HQ300")</f>
        <v>HQ300</v>
      </c>
      <c r="U8" s="10" t="str">
        <f t="shared" ref="U8:V8" si="4">IF(AND(OR(U6="null",U6="klein"),U7="nein"),"HQ100","HQ300")</f>
        <v>HQ300</v>
      </c>
      <c r="V8" s="10" t="str">
        <f t="shared" si="4"/>
        <v>HQ300</v>
      </c>
    </row>
    <row r="9" spans="1:22" s="6" customFormat="1" ht="15" customHeight="1" x14ac:dyDescent="0.25">
      <c r="A9" s="16" t="s">
        <v>0</v>
      </c>
      <c r="B9" s="17" t="s">
        <v>21</v>
      </c>
      <c r="C9" s="9">
        <v>4.5</v>
      </c>
      <c r="D9" s="9">
        <v>4</v>
      </c>
      <c r="E9" s="9">
        <v>3.5</v>
      </c>
      <c r="F9" s="9">
        <v>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3" customFormat="1" ht="15" customHeight="1" x14ac:dyDescent="0.25">
      <c r="A10" s="18" t="s">
        <v>17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s="4" customFormat="1" ht="15" customHeight="1" x14ac:dyDescent="0.25">
      <c r="A11" s="46" t="s">
        <v>42</v>
      </c>
      <c r="B11" s="47" t="s">
        <v>22</v>
      </c>
      <c r="C11" s="9">
        <v>2</v>
      </c>
      <c r="D11" s="9">
        <v>1.8</v>
      </c>
      <c r="E11" s="9">
        <v>2.2000000000000002</v>
      </c>
      <c r="F11" s="9">
        <v>1.4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33" customFormat="1" ht="15" customHeight="1" x14ac:dyDescent="0.25">
      <c r="A12" s="31" t="s">
        <v>6</v>
      </c>
      <c r="B12" s="32" t="s">
        <v>22</v>
      </c>
      <c r="C12" s="8">
        <v>3</v>
      </c>
      <c r="D12" s="8">
        <v>3.6</v>
      </c>
      <c r="E12" s="8">
        <v>2.2000000000000002</v>
      </c>
      <c r="F12" s="8">
        <v>1.4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" customHeight="1" x14ac:dyDescent="0.25">
      <c r="A13" s="12" t="s">
        <v>27</v>
      </c>
      <c r="B13" s="13" t="s">
        <v>23</v>
      </c>
      <c r="C13" s="10" t="str">
        <f>IF(C12&lt;C11,"verletzt","erfüllt")</f>
        <v>erfüllt</v>
      </c>
      <c r="D13" s="10" t="str">
        <f t="shared" ref="D13:Q13" si="5">IF(D12&lt;D11,"verletzt","erfüllt")</f>
        <v>erfüllt</v>
      </c>
      <c r="E13" s="10" t="str">
        <f t="shared" si="5"/>
        <v>erfüllt</v>
      </c>
      <c r="F13" s="10" t="str">
        <f t="shared" si="5"/>
        <v>erfüllt</v>
      </c>
      <c r="G13" s="10" t="str">
        <f t="shared" si="5"/>
        <v>erfüllt</v>
      </c>
      <c r="H13" s="10" t="str">
        <f t="shared" si="5"/>
        <v>erfüllt</v>
      </c>
      <c r="I13" s="10" t="str">
        <f t="shared" si="5"/>
        <v>erfüllt</v>
      </c>
      <c r="J13" s="10" t="str">
        <f t="shared" si="5"/>
        <v>erfüllt</v>
      </c>
      <c r="K13" s="10" t="str">
        <f t="shared" si="5"/>
        <v>erfüllt</v>
      </c>
      <c r="L13" s="10" t="str">
        <f t="shared" si="5"/>
        <v>erfüllt</v>
      </c>
      <c r="M13" s="10" t="str">
        <f t="shared" si="5"/>
        <v>erfüllt</v>
      </c>
      <c r="N13" s="10" t="str">
        <f t="shared" si="5"/>
        <v>erfüllt</v>
      </c>
      <c r="O13" s="10" t="str">
        <f t="shared" si="5"/>
        <v>erfüllt</v>
      </c>
      <c r="P13" s="10" t="str">
        <f t="shared" si="5"/>
        <v>erfüllt</v>
      </c>
      <c r="Q13" s="10" t="str">
        <f t="shared" si="5"/>
        <v>erfüllt</v>
      </c>
      <c r="R13" s="10" t="str">
        <f t="shared" ref="R13" si="6">IF(R12&lt;R11,"verletzt","erfüllt")</f>
        <v>erfüllt</v>
      </c>
      <c r="S13" s="10" t="str">
        <f t="shared" ref="S13" si="7">IF(S12&lt;S11,"verletzt","erfüllt")</f>
        <v>erfüllt</v>
      </c>
      <c r="T13" s="10" t="str">
        <f t="shared" ref="T13" si="8">IF(T12&lt;T11,"verletzt","erfüllt")</f>
        <v>erfüllt</v>
      </c>
      <c r="U13" s="10" t="str">
        <f t="shared" ref="U13:V13" si="9">IF(U12&lt;U11,"verletzt","erfüllt")</f>
        <v>erfüllt</v>
      </c>
      <c r="V13" s="10" t="str">
        <f t="shared" si="9"/>
        <v>erfüllt</v>
      </c>
    </row>
    <row r="14" spans="1:22" s="5" customFormat="1" ht="15" customHeight="1" x14ac:dyDescent="0.25">
      <c r="A14" s="14" t="s">
        <v>43</v>
      </c>
      <c r="B14" s="15" t="s">
        <v>23</v>
      </c>
      <c r="C14" s="11">
        <v>0.08</v>
      </c>
      <c r="D14" s="11">
        <v>0.05</v>
      </c>
      <c r="E14" s="11">
        <v>0.1</v>
      </c>
      <c r="F14" s="11">
        <v>0.04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24" customFormat="1" ht="15" customHeight="1" x14ac:dyDescent="0.25">
      <c r="A15" s="21" t="s">
        <v>9</v>
      </c>
      <c r="B15" s="22" t="s">
        <v>31</v>
      </c>
      <c r="C15" s="23">
        <v>15</v>
      </c>
      <c r="D15" s="23">
        <v>20</v>
      </c>
      <c r="E15" s="23">
        <v>25</v>
      </c>
      <c r="F15" s="23">
        <v>25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5" customHeight="1" x14ac:dyDescent="0.25">
      <c r="A16" s="12" t="s">
        <v>28</v>
      </c>
      <c r="B16" s="13" t="s">
        <v>23</v>
      </c>
      <c r="C16" s="10" t="str">
        <f>IF(AND(C15&gt;=15,C15&lt;=45),"erfüllt","verletzt")</f>
        <v>erfüllt</v>
      </c>
      <c r="D16" s="10" t="str">
        <f t="shared" ref="D16:Q16" si="10">IF(AND(D15&gt;=15,D15&lt;=45),"erfüllt","verletzt")</f>
        <v>erfüllt</v>
      </c>
      <c r="E16" s="10" t="str">
        <f t="shared" si="10"/>
        <v>erfüllt</v>
      </c>
      <c r="F16" s="10" t="str">
        <f t="shared" si="10"/>
        <v>erfüllt</v>
      </c>
      <c r="G16" s="10" t="str">
        <f t="shared" si="10"/>
        <v>verletzt</v>
      </c>
      <c r="H16" s="10" t="str">
        <f t="shared" si="10"/>
        <v>verletzt</v>
      </c>
      <c r="I16" s="10" t="str">
        <f t="shared" si="10"/>
        <v>verletzt</v>
      </c>
      <c r="J16" s="10" t="str">
        <f t="shared" si="10"/>
        <v>verletzt</v>
      </c>
      <c r="K16" s="10" t="str">
        <f t="shared" si="10"/>
        <v>verletzt</v>
      </c>
      <c r="L16" s="10" t="str">
        <f t="shared" si="10"/>
        <v>verletzt</v>
      </c>
      <c r="M16" s="10" t="str">
        <f t="shared" si="10"/>
        <v>verletzt</v>
      </c>
      <c r="N16" s="10" t="str">
        <f t="shared" si="10"/>
        <v>verletzt</v>
      </c>
      <c r="O16" s="10" t="str">
        <f t="shared" si="10"/>
        <v>verletzt</v>
      </c>
      <c r="P16" s="10" t="str">
        <f t="shared" si="10"/>
        <v>verletzt</v>
      </c>
      <c r="Q16" s="10" t="str">
        <f t="shared" si="10"/>
        <v>verletzt</v>
      </c>
      <c r="R16" s="10" t="str">
        <f t="shared" ref="R16" si="11">IF(AND(R15&gt;=15,R15&lt;=45),"erfüllt","verletzt")</f>
        <v>verletzt</v>
      </c>
      <c r="S16" s="10" t="str">
        <f t="shared" ref="S16" si="12">IF(AND(S15&gt;=15,S15&lt;=45),"erfüllt","verletzt")</f>
        <v>verletzt</v>
      </c>
      <c r="T16" s="10" t="str">
        <f t="shared" ref="T16" si="13">IF(AND(T15&gt;=15,T15&lt;=45),"erfüllt","verletzt")</f>
        <v>verletzt</v>
      </c>
      <c r="U16" s="10" t="str">
        <f t="shared" ref="U16:V16" si="14">IF(AND(U15&gt;=15,U15&lt;=45),"erfüllt","verletzt")</f>
        <v>verletzt</v>
      </c>
      <c r="V16" s="10" t="str">
        <f t="shared" si="14"/>
        <v>verletzt</v>
      </c>
    </row>
    <row r="17" spans="1:22" s="36" customFormat="1" ht="15" customHeight="1" x14ac:dyDescent="0.25">
      <c r="A17" s="34" t="s">
        <v>10</v>
      </c>
      <c r="B17" s="35" t="s">
        <v>22</v>
      </c>
      <c r="C17" s="8">
        <v>0.61</v>
      </c>
      <c r="D17" s="8">
        <v>0.7</v>
      </c>
      <c r="E17" s="8">
        <v>2.4</v>
      </c>
      <c r="F17" s="8">
        <v>1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s="6" customFormat="1" ht="15" customHeight="1" x14ac:dyDescent="0.25">
      <c r="A18" s="16" t="s">
        <v>16</v>
      </c>
      <c r="B18" s="17" t="s">
        <v>22</v>
      </c>
      <c r="C18" s="9">
        <v>1.4</v>
      </c>
      <c r="D18" s="9">
        <v>1.2</v>
      </c>
      <c r="E18" s="9">
        <v>3.5</v>
      </c>
      <c r="F18" s="9">
        <v>1.5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3" customFormat="1" ht="15" customHeight="1" x14ac:dyDescent="0.25">
      <c r="A19" s="18" t="s">
        <v>18</v>
      </c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s="6" customFormat="1" ht="15" customHeight="1" x14ac:dyDescent="0.25">
      <c r="A20" s="16" t="s">
        <v>11</v>
      </c>
      <c r="B20" s="17" t="s">
        <v>26</v>
      </c>
      <c r="C20" s="10">
        <f>(C12+2*C17)*C17</f>
        <v>2.5741999999999998</v>
      </c>
      <c r="D20" s="10">
        <f t="shared" ref="D20:V20" si="15">(D12+2*D17)*D17</f>
        <v>3.5</v>
      </c>
      <c r="E20" s="10">
        <f t="shared" si="15"/>
        <v>16.8</v>
      </c>
      <c r="F20" s="10">
        <f t="shared" si="15"/>
        <v>3.4</v>
      </c>
      <c r="G20" s="10">
        <f t="shared" si="15"/>
        <v>0</v>
      </c>
      <c r="H20" s="10">
        <f t="shared" si="15"/>
        <v>0</v>
      </c>
      <c r="I20" s="10">
        <f t="shared" si="15"/>
        <v>0</v>
      </c>
      <c r="J20" s="10">
        <f t="shared" si="15"/>
        <v>0</v>
      </c>
      <c r="K20" s="10">
        <f t="shared" si="15"/>
        <v>0</v>
      </c>
      <c r="L20" s="10">
        <f t="shared" si="15"/>
        <v>0</v>
      </c>
      <c r="M20" s="10">
        <f t="shared" si="15"/>
        <v>0</v>
      </c>
      <c r="N20" s="10">
        <f t="shared" si="15"/>
        <v>0</v>
      </c>
      <c r="O20" s="10">
        <f t="shared" si="15"/>
        <v>0</v>
      </c>
      <c r="P20" s="10">
        <f t="shared" si="15"/>
        <v>0</v>
      </c>
      <c r="Q20" s="10">
        <f t="shared" si="15"/>
        <v>0</v>
      </c>
      <c r="R20" s="10">
        <f t="shared" si="15"/>
        <v>0</v>
      </c>
      <c r="S20" s="10">
        <f t="shared" si="15"/>
        <v>0</v>
      </c>
      <c r="T20" s="10">
        <f t="shared" si="15"/>
        <v>0</v>
      </c>
      <c r="U20" s="10">
        <f t="shared" si="15"/>
        <v>0</v>
      </c>
      <c r="V20" s="10">
        <f t="shared" si="15"/>
        <v>0</v>
      </c>
    </row>
    <row r="21" spans="1:22" s="6" customFormat="1" ht="15" customHeight="1" x14ac:dyDescent="0.25">
      <c r="A21" s="16" t="s">
        <v>12</v>
      </c>
      <c r="B21" s="17" t="s">
        <v>22</v>
      </c>
      <c r="C21" s="10">
        <f>C12+2*SQRT(5)*C17</f>
        <v>5.7280029325497441</v>
      </c>
      <c r="D21" s="10">
        <f t="shared" ref="D21:V21" si="16">D12+2*SQRT(5)*D17</f>
        <v>6.7304951684997061</v>
      </c>
      <c r="E21" s="10">
        <f t="shared" si="16"/>
        <v>12.933126291998992</v>
      </c>
      <c r="F21" s="10">
        <f t="shared" si="16"/>
        <v>5.87213595499958</v>
      </c>
      <c r="G21" s="10">
        <f t="shared" si="16"/>
        <v>0</v>
      </c>
      <c r="H21" s="10">
        <f t="shared" si="16"/>
        <v>0</v>
      </c>
      <c r="I21" s="10">
        <f t="shared" si="16"/>
        <v>0</v>
      </c>
      <c r="J21" s="10">
        <f t="shared" si="16"/>
        <v>0</v>
      </c>
      <c r="K21" s="10">
        <f t="shared" si="16"/>
        <v>0</v>
      </c>
      <c r="L21" s="10">
        <f t="shared" si="16"/>
        <v>0</v>
      </c>
      <c r="M21" s="10">
        <f t="shared" si="16"/>
        <v>0</v>
      </c>
      <c r="N21" s="10">
        <f t="shared" si="16"/>
        <v>0</v>
      </c>
      <c r="O21" s="10">
        <f t="shared" si="16"/>
        <v>0</v>
      </c>
      <c r="P21" s="10">
        <f t="shared" si="16"/>
        <v>0</v>
      </c>
      <c r="Q21" s="10">
        <f t="shared" si="16"/>
        <v>0</v>
      </c>
      <c r="R21" s="10">
        <f t="shared" si="16"/>
        <v>0</v>
      </c>
      <c r="S21" s="10">
        <f t="shared" si="16"/>
        <v>0</v>
      </c>
      <c r="T21" s="10">
        <f t="shared" si="16"/>
        <v>0</v>
      </c>
      <c r="U21" s="10">
        <f t="shared" si="16"/>
        <v>0</v>
      </c>
      <c r="V21" s="10">
        <f t="shared" si="16"/>
        <v>0</v>
      </c>
    </row>
    <row r="22" spans="1:22" s="6" customFormat="1" ht="15" customHeight="1" x14ac:dyDescent="0.25">
      <c r="A22" s="16" t="s">
        <v>13</v>
      </c>
      <c r="B22" s="17" t="s">
        <v>22</v>
      </c>
      <c r="C22" s="10">
        <f>C20/C21</f>
        <v>0.44940619449964719</v>
      </c>
      <c r="D22" s="10">
        <f t="shared" ref="D22:Q22" si="17">D20/D21</f>
        <v>0.52002117413007287</v>
      </c>
      <c r="E22" s="10">
        <f t="shared" si="17"/>
        <v>1.2989898668501543</v>
      </c>
      <c r="F22" s="10">
        <f t="shared" si="17"/>
        <v>0.57900566779371221</v>
      </c>
      <c r="G22" s="10" t="e">
        <f t="shared" si="17"/>
        <v>#DIV/0!</v>
      </c>
      <c r="H22" s="10" t="e">
        <f t="shared" si="17"/>
        <v>#DIV/0!</v>
      </c>
      <c r="I22" s="10" t="e">
        <f t="shared" si="17"/>
        <v>#DIV/0!</v>
      </c>
      <c r="J22" s="10" t="e">
        <f t="shared" si="17"/>
        <v>#DIV/0!</v>
      </c>
      <c r="K22" s="10" t="e">
        <f t="shared" si="17"/>
        <v>#DIV/0!</v>
      </c>
      <c r="L22" s="10" t="e">
        <f t="shared" si="17"/>
        <v>#DIV/0!</v>
      </c>
      <c r="M22" s="10" t="e">
        <f t="shared" si="17"/>
        <v>#DIV/0!</v>
      </c>
      <c r="N22" s="10" t="e">
        <f t="shared" si="17"/>
        <v>#DIV/0!</v>
      </c>
      <c r="O22" s="10" t="e">
        <f t="shared" si="17"/>
        <v>#DIV/0!</v>
      </c>
      <c r="P22" s="10" t="e">
        <f t="shared" si="17"/>
        <v>#DIV/0!</v>
      </c>
      <c r="Q22" s="10" t="e">
        <f t="shared" si="17"/>
        <v>#DIV/0!</v>
      </c>
      <c r="R22" s="10" t="e">
        <f t="shared" ref="R22" si="18">R20/R21</f>
        <v>#DIV/0!</v>
      </c>
      <c r="S22" s="10" t="e">
        <f t="shared" ref="S22" si="19">S20/S21</f>
        <v>#DIV/0!</v>
      </c>
      <c r="T22" s="10" t="e">
        <f t="shared" ref="T22" si="20">T20/T21</f>
        <v>#DIV/0!</v>
      </c>
      <c r="U22" s="10" t="e">
        <f t="shared" ref="U22:V22" si="21">U20/U21</f>
        <v>#DIV/0!</v>
      </c>
      <c r="V22" s="10" t="e">
        <f t="shared" si="21"/>
        <v>#DIV/0!</v>
      </c>
    </row>
    <row r="23" spans="1:22" s="6" customFormat="1" ht="15" customHeight="1" x14ac:dyDescent="0.25">
      <c r="A23" s="16" t="s">
        <v>80</v>
      </c>
      <c r="B23" s="17" t="s">
        <v>25</v>
      </c>
      <c r="C23" s="10">
        <f>C15*C22^(2/3)*SQRT(C14)</f>
        <v>2.4892143087263765</v>
      </c>
      <c r="D23" s="10">
        <f t="shared" ref="D23:V23" si="22">D15*D22^(2/3)*SQRT(D14)</f>
        <v>2.8919826479863997</v>
      </c>
      <c r="E23" s="10">
        <f t="shared" si="22"/>
        <v>9.4118973983764711</v>
      </c>
      <c r="F23" s="10">
        <f t="shared" si="22"/>
        <v>3.4734299735645866</v>
      </c>
      <c r="G23" s="10" t="e">
        <f t="shared" si="22"/>
        <v>#DIV/0!</v>
      </c>
      <c r="H23" s="10" t="e">
        <f t="shared" si="22"/>
        <v>#DIV/0!</v>
      </c>
      <c r="I23" s="10" t="e">
        <f t="shared" si="22"/>
        <v>#DIV/0!</v>
      </c>
      <c r="J23" s="10" t="e">
        <f t="shared" si="22"/>
        <v>#DIV/0!</v>
      </c>
      <c r="K23" s="10" t="e">
        <f t="shared" si="22"/>
        <v>#DIV/0!</v>
      </c>
      <c r="L23" s="10" t="e">
        <f t="shared" si="22"/>
        <v>#DIV/0!</v>
      </c>
      <c r="M23" s="10" t="e">
        <f t="shared" si="22"/>
        <v>#DIV/0!</v>
      </c>
      <c r="N23" s="10" t="e">
        <f t="shared" si="22"/>
        <v>#DIV/0!</v>
      </c>
      <c r="O23" s="10" t="e">
        <f t="shared" si="22"/>
        <v>#DIV/0!</v>
      </c>
      <c r="P23" s="10" t="e">
        <f t="shared" si="22"/>
        <v>#DIV/0!</v>
      </c>
      <c r="Q23" s="10" t="e">
        <f t="shared" si="22"/>
        <v>#DIV/0!</v>
      </c>
      <c r="R23" s="10" t="e">
        <f t="shared" si="22"/>
        <v>#DIV/0!</v>
      </c>
      <c r="S23" s="10" t="e">
        <f t="shared" si="22"/>
        <v>#DIV/0!</v>
      </c>
      <c r="T23" s="10" t="e">
        <f t="shared" si="22"/>
        <v>#DIV/0!</v>
      </c>
      <c r="U23" s="10" t="e">
        <f t="shared" si="22"/>
        <v>#DIV/0!</v>
      </c>
      <c r="V23" s="10" t="e">
        <f t="shared" si="22"/>
        <v>#DIV/0!</v>
      </c>
    </row>
    <row r="24" spans="1:22" s="6" customFormat="1" ht="15" customHeight="1" x14ac:dyDescent="0.25">
      <c r="A24" s="16" t="s">
        <v>81</v>
      </c>
      <c r="B24" s="17" t="s">
        <v>23</v>
      </c>
      <c r="C24" s="10">
        <f>C23/SQRT(9.81*C17)</f>
        <v>1.0175666563736527</v>
      </c>
      <c r="D24" s="10">
        <f t="shared" ref="D24:V24" si="23">D23/SQRT(9.81*D17)</f>
        <v>1.1036011875774827</v>
      </c>
      <c r="E24" s="10">
        <f t="shared" si="23"/>
        <v>1.9397111382704872</v>
      </c>
      <c r="F24" s="10">
        <f t="shared" si="23"/>
        <v>1.1089808428517234</v>
      </c>
      <c r="G24" s="10" t="e">
        <f t="shared" si="23"/>
        <v>#DIV/0!</v>
      </c>
      <c r="H24" s="10" t="e">
        <f t="shared" si="23"/>
        <v>#DIV/0!</v>
      </c>
      <c r="I24" s="10" t="e">
        <f t="shared" si="23"/>
        <v>#DIV/0!</v>
      </c>
      <c r="J24" s="10" t="e">
        <f t="shared" si="23"/>
        <v>#DIV/0!</v>
      </c>
      <c r="K24" s="10" t="e">
        <f t="shared" si="23"/>
        <v>#DIV/0!</v>
      </c>
      <c r="L24" s="10" t="e">
        <f t="shared" si="23"/>
        <v>#DIV/0!</v>
      </c>
      <c r="M24" s="10" t="e">
        <f t="shared" si="23"/>
        <v>#DIV/0!</v>
      </c>
      <c r="N24" s="10" t="e">
        <f t="shared" si="23"/>
        <v>#DIV/0!</v>
      </c>
      <c r="O24" s="10" t="e">
        <f t="shared" si="23"/>
        <v>#DIV/0!</v>
      </c>
      <c r="P24" s="10" t="e">
        <f t="shared" si="23"/>
        <v>#DIV/0!</v>
      </c>
      <c r="Q24" s="10" t="e">
        <f t="shared" si="23"/>
        <v>#DIV/0!</v>
      </c>
      <c r="R24" s="10" t="e">
        <f t="shared" si="23"/>
        <v>#DIV/0!</v>
      </c>
      <c r="S24" s="10" t="e">
        <f t="shared" si="23"/>
        <v>#DIV/0!</v>
      </c>
      <c r="T24" s="10" t="e">
        <f t="shared" si="23"/>
        <v>#DIV/0!</v>
      </c>
      <c r="U24" s="10" t="e">
        <f t="shared" si="23"/>
        <v>#DIV/0!</v>
      </c>
      <c r="V24" s="10" t="e">
        <f t="shared" si="23"/>
        <v>#DIV/0!</v>
      </c>
    </row>
    <row r="25" spans="1:22" ht="15" customHeight="1" x14ac:dyDescent="0.25">
      <c r="A25" s="12" t="s">
        <v>79</v>
      </c>
      <c r="B25" s="17" t="s">
        <v>25</v>
      </c>
      <c r="C25" s="10">
        <f>IF(C24&gt;0.9,0.9*SQRT(9.81*C17),C23)</f>
        <v>2.2016178142447886</v>
      </c>
      <c r="D25" s="10">
        <f t="shared" ref="D25:V25" si="24">IF(D24&gt;0.9,0.9*SQRT(9.81*D17),D23)</f>
        <v>2.3584465226076254</v>
      </c>
      <c r="E25" s="10">
        <f t="shared" si="24"/>
        <v>4.3669943897376378</v>
      </c>
      <c r="F25" s="10">
        <f t="shared" si="24"/>
        <v>2.8188827574058486</v>
      </c>
      <c r="G25" s="10" t="e">
        <f t="shared" si="24"/>
        <v>#DIV/0!</v>
      </c>
      <c r="H25" s="10" t="e">
        <f t="shared" si="24"/>
        <v>#DIV/0!</v>
      </c>
      <c r="I25" s="10" t="e">
        <f t="shared" si="24"/>
        <v>#DIV/0!</v>
      </c>
      <c r="J25" s="10" t="e">
        <f t="shared" si="24"/>
        <v>#DIV/0!</v>
      </c>
      <c r="K25" s="10" t="e">
        <f t="shared" si="24"/>
        <v>#DIV/0!</v>
      </c>
      <c r="L25" s="10" t="e">
        <f t="shared" si="24"/>
        <v>#DIV/0!</v>
      </c>
      <c r="M25" s="10" t="e">
        <f t="shared" si="24"/>
        <v>#DIV/0!</v>
      </c>
      <c r="N25" s="10" t="e">
        <f t="shared" si="24"/>
        <v>#DIV/0!</v>
      </c>
      <c r="O25" s="10" t="e">
        <f t="shared" si="24"/>
        <v>#DIV/0!</v>
      </c>
      <c r="P25" s="10" t="e">
        <f t="shared" si="24"/>
        <v>#DIV/0!</v>
      </c>
      <c r="Q25" s="10" t="e">
        <f t="shared" si="24"/>
        <v>#DIV/0!</v>
      </c>
      <c r="R25" s="10" t="e">
        <f t="shared" si="24"/>
        <v>#DIV/0!</v>
      </c>
      <c r="S25" s="10" t="e">
        <f t="shared" si="24"/>
        <v>#DIV/0!</v>
      </c>
      <c r="T25" s="10" t="e">
        <f t="shared" si="24"/>
        <v>#DIV/0!</v>
      </c>
      <c r="U25" s="10" t="e">
        <f t="shared" si="24"/>
        <v>#DIV/0!</v>
      </c>
      <c r="V25" s="10" t="e">
        <f t="shared" si="24"/>
        <v>#DIV/0!</v>
      </c>
    </row>
    <row r="26" spans="1:22" s="3" customFormat="1" ht="15" customHeight="1" x14ac:dyDescent="0.25">
      <c r="A26" s="29" t="s">
        <v>91</v>
      </c>
      <c r="B26" s="13" t="s">
        <v>23</v>
      </c>
      <c r="C26" s="40">
        <f>(C25/(C15*C22^(2/3)))^2</f>
        <v>6.258197585955394E-2</v>
      </c>
      <c r="D26" s="40">
        <f t="shared" ref="D26:V26" si="25">(D25/(D15*D22^(2/3)))^2</f>
        <v>3.3252990243827628E-2</v>
      </c>
      <c r="E26" s="40">
        <f t="shared" si="25"/>
        <v>2.1528357644783405E-2</v>
      </c>
      <c r="F26" s="40">
        <f t="shared" si="25"/>
        <v>2.6344922314190441E-2</v>
      </c>
      <c r="G26" s="40" t="e">
        <f t="shared" si="25"/>
        <v>#DIV/0!</v>
      </c>
      <c r="H26" s="40" t="e">
        <f t="shared" si="25"/>
        <v>#DIV/0!</v>
      </c>
      <c r="I26" s="40" t="e">
        <f t="shared" si="25"/>
        <v>#DIV/0!</v>
      </c>
      <c r="J26" s="40" t="e">
        <f t="shared" si="25"/>
        <v>#DIV/0!</v>
      </c>
      <c r="K26" s="40" t="e">
        <f t="shared" si="25"/>
        <v>#DIV/0!</v>
      </c>
      <c r="L26" s="40" t="e">
        <f t="shared" si="25"/>
        <v>#DIV/0!</v>
      </c>
      <c r="M26" s="40" t="e">
        <f t="shared" si="25"/>
        <v>#DIV/0!</v>
      </c>
      <c r="N26" s="40" t="e">
        <f t="shared" si="25"/>
        <v>#DIV/0!</v>
      </c>
      <c r="O26" s="40" t="e">
        <f t="shared" si="25"/>
        <v>#DIV/0!</v>
      </c>
      <c r="P26" s="40" t="e">
        <f t="shared" si="25"/>
        <v>#DIV/0!</v>
      </c>
      <c r="Q26" s="40" t="e">
        <f t="shared" si="25"/>
        <v>#DIV/0!</v>
      </c>
      <c r="R26" s="40" t="e">
        <f t="shared" si="25"/>
        <v>#DIV/0!</v>
      </c>
      <c r="S26" s="40" t="e">
        <f t="shared" si="25"/>
        <v>#DIV/0!</v>
      </c>
      <c r="T26" s="40" t="e">
        <f t="shared" si="25"/>
        <v>#DIV/0!</v>
      </c>
      <c r="U26" s="40" t="e">
        <f t="shared" si="25"/>
        <v>#DIV/0!</v>
      </c>
      <c r="V26" s="40" t="e">
        <f t="shared" si="25"/>
        <v>#DIV/0!</v>
      </c>
    </row>
    <row r="27" spans="1:22" s="6" customFormat="1" ht="15" customHeight="1" x14ac:dyDescent="0.25">
      <c r="A27" s="16" t="s">
        <v>88</v>
      </c>
      <c r="B27" s="17" t="s">
        <v>21</v>
      </c>
      <c r="C27" s="10">
        <f>C25*C20</f>
        <v>5.6674045774289343</v>
      </c>
      <c r="D27" s="10">
        <f t="shared" ref="D27:V27" si="26">D25*D20</f>
        <v>8.254562829126689</v>
      </c>
      <c r="E27" s="10">
        <f t="shared" si="26"/>
        <v>73.365505747592323</v>
      </c>
      <c r="F27" s="10">
        <f>F25*F20</f>
        <v>9.5842013751798856</v>
      </c>
      <c r="G27" s="10" t="e">
        <f t="shared" si="26"/>
        <v>#DIV/0!</v>
      </c>
      <c r="H27" s="10" t="e">
        <f t="shared" si="26"/>
        <v>#DIV/0!</v>
      </c>
      <c r="I27" s="10" t="e">
        <f t="shared" si="26"/>
        <v>#DIV/0!</v>
      </c>
      <c r="J27" s="10" t="e">
        <f t="shared" si="26"/>
        <v>#DIV/0!</v>
      </c>
      <c r="K27" s="10" t="e">
        <f t="shared" si="26"/>
        <v>#DIV/0!</v>
      </c>
      <c r="L27" s="10" t="e">
        <f t="shared" si="26"/>
        <v>#DIV/0!</v>
      </c>
      <c r="M27" s="10" t="e">
        <f t="shared" si="26"/>
        <v>#DIV/0!</v>
      </c>
      <c r="N27" s="10" t="e">
        <f t="shared" si="26"/>
        <v>#DIV/0!</v>
      </c>
      <c r="O27" s="10" t="e">
        <f t="shared" si="26"/>
        <v>#DIV/0!</v>
      </c>
      <c r="P27" s="10" t="e">
        <f t="shared" si="26"/>
        <v>#DIV/0!</v>
      </c>
      <c r="Q27" s="10" t="e">
        <f t="shared" si="26"/>
        <v>#DIV/0!</v>
      </c>
      <c r="R27" s="10" t="e">
        <f t="shared" si="26"/>
        <v>#DIV/0!</v>
      </c>
      <c r="S27" s="10" t="e">
        <f t="shared" si="26"/>
        <v>#DIV/0!</v>
      </c>
      <c r="T27" s="10" t="e">
        <f t="shared" si="26"/>
        <v>#DIV/0!</v>
      </c>
      <c r="U27" s="10" t="e">
        <f t="shared" si="26"/>
        <v>#DIV/0!</v>
      </c>
      <c r="V27" s="10" t="e">
        <f t="shared" si="26"/>
        <v>#DIV/0!</v>
      </c>
    </row>
    <row r="28" spans="1:22" ht="15" customHeight="1" x14ac:dyDescent="0.25">
      <c r="A28" s="12" t="s">
        <v>29</v>
      </c>
      <c r="B28" s="13" t="s">
        <v>23</v>
      </c>
      <c r="C28" s="10" t="str">
        <f t="shared" ref="C28:V28" si="27">IF(C27&lt;C9,"verletzt","erfüllt")</f>
        <v>erfüllt</v>
      </c>
      <c r="D28" s="10" t="str">
        <f t="shared" si="27"/>
        <v>erfüllt</v>
      </c>
      <c r="E28" s="10" t="str">
        <f t="shared" si="27"/>
        <v>erfüllt</v>
      </c>
      <c r="F28" s="10" t="str">
        <f t="shared" si="27"/>
        <v>erfüllt</v>
      </c>
      <c r="G28" s="10" t="e">
        <f t="shared" si="27"/>
        <v>#DIV/0!</v>
      </c>
      <c r="H28" s="10" t="e">
        <f t="shared" si="27"/>
        <v>#DIV/0!</v>
      </c>
      <c r="I28" s="10" t="e">
        <f t="shared" si="27"/>
        <v>#DIV/0!</v>
      </c>
      <c r="J28" s="10" t="e">
        <f t="shared" si="27"/>
        <v>#DIV/0!</v>
      </c>
      <c r="K28" s="10" t="e">
        <f t="shared" si="27"/>
        <v>#DIV/0!</v>
      </c>
      <c r="L28" s="10" t="e">
        <f t="shared" si="27"/>
        <v>#DIV/0!</v>
      </c>
      <c r="M28" s="10" t="e">
        <f t="shared" si="27"/>
        <v>#DIV/0!</v>
      </c>
      <c r="N28" s="10" t="e">
        <f t="shared" si="27"/>
        <v>#DIV/0!</v>
      </c>
      <c r="O28" s="10" t="e">
        <f t="shared" si="27"/>
        <v>#DIV/0!</v>
      </c>
      <c r="P28" s="10" t="e">
        <f t="shared" si="27"/>
        <v>#DIV/0!</v>
      </c>
      <c r="Q28" s="10" t="e">
        <f t="shared" si="27"/>
        <v>#DIV/0!</v>
      </c>
      <c r="R28" s="10" t="e">
        <f t="shared" si="27"/>
        <v>#DIV/0!</v>
      </c>
      <c r="S28" s="10" t="e">
        <f t="shared" si="27"/>
        <v>#DIV/0!</v>
      </c>
      <c r="T28" s="10" t="e">
        <f t="shared" si="27"/>
        <v>#DIV/0!</v>
      </c>
      <c r="U28" s="10" t="e">
        <f t="shared" si="27"/>
        <v>#DIV/0!</v>
      </c>
      <c r="V28" s="10" t="e">
        <f t="shared" si="27"/>
        <v>#DIV/0!</v>
      </c>
    </row>
    <row r="29" spans="1:22" s="6" customFormat="1" ht="15" customHeight="1" x14ac:dyDescent="0.25">
      <c r="A29" s="16" t="s">
        <v>14</v>
      </c>
      <c r="B29" s="17" t="s">
        <v>22</v>
      </c>
      <c r="C29" s="10">
        <f t="shared" ref="C29:V29" si="28">MIN(1.5,MAX(0.5,SQRT((C25^2/(2*9.81))^2+(0.06+0.06*C17)^2)))</f>
        <v>0.5</v>
      </c>
      <c r="D29" s="10">
        <f t="shared" si="28"/>
        <v>0.5</v>
      </c>
      <c r="E29" s="10">
        <f t="shared" si="28"/>
        <v>0.99317672143481106</v>
      </c>
      <c r="F29" s="10">
        <f t="shared" si="28"/>
        <v>0.5</v>
      </c>
      <c r="G29" s="10" t="e">
        <f t="shared" si="28"/>
        <v>#DIV/0!</v>
      </c>
      <c r="H29" s="10" t="e">
        <f t="shared" si="28"/>
        <v>#DIV/0!</v>
      </c>
      <c r="I29" s="10" t="e">
        <f t="shared" si="28"/>
        <v>#DIV/0!</v>
      </c>
      <c r="J29" s="10" t="e">
        <f t="shared" si="28"/>
        <v>#DIV/0!</v>
      </c>
      <c r="K29" s="10" t="e">
        <f t="shared" si="28"/>
        <v>#DIV/0!</v>
      </c>
      <c r="L29" s="10" t="e">
        <f t="shared" si="28"/>
        <v>#DIV/0!</v>
      </c>
      <c r="M29" s="10" t="e">
        <f t="shared" si="28"/>
        <v>#DIV/0!</v>
      </c>
      <c r="N29" s="10" t="e">
        <f t="shared" si="28"/>
        <v>#DIV/0!</v>
      </c>
      <c r="O29" s="10" t="e">
        <f t="shared" si="28"/>
        <v>#DIV/0!</v>
      </c>
      <c r="P29" s="10" t="e">
        <f t="shared" si="28"/>
        <v>#DIV/0!</v>
      </c>
      <c r="Q29" s="10" t="e">
        <f t="shared" si="28"/>
        <v>#DIV/0!</v>
      </c>
      <c r="R29" s="10" t="e">
        <f t="shared" si="28"/>
        <v>#DIV/0!</v>
      </c>
      <c r="S29" s="10" t="e">
        <f t="shared" si="28"/>
        <v>#DIV/0!</v>
      </c>
      <c r="T29" s="10" t="e">
        <f t="shared" si="28"/>
        <v>#DIV/0!</v>
      </c>
      <c r="U29" s="10" t="e">
        <f t="shared" si="28"/>
        <v>#DIV/0!</v>
      </c>
      <c r="V29" s="10" t="e">
        <f t="shared" si="28"/>
        <v>#DIV/0!</v>
      </c>
    </row>
    <row r="30" spans="1:22" s="6" customFormat="1" ht="15" customHeight="1" x14ac:dyDescent="0.25">
      <c r="A30" s="16" t="s">
        <v>15</v>
      </c>
      <c r="B30" s="17" t="s">
        <v>22</v>
      </c>
      <c r="C30" s="10">
        <f t="shared" ref="C30:V30" si="29">C17+C29</f>
        <v>1.1099999999999999</v>
      </c>
      <c r="D30" s="10">
        <f t="shared" si="29"/>
        <v>1.2</v>
      </c>
      <c r="E30" s="10">
        <f t="shared" si="29"/>
        <v>3.393176721434811</v>
      </c>
      <c r="F30" s="10">
        <f t="shared" si="29"/>
        <v>1.5</v>
      </c>
      <c r="G30" s="10" t="e">
        <f t="shared" si="29"/>
        <v>#DIV/0!</v>
      </c>
      <c r="H30" s="10" t="e">
        <f t="shared" si="29"/>
        <v>#DIV/0!</v>
      </c>
      <c r="I30" s="10" t="e">
        <f t="shared" si="29"/>
        <v>#DIV/0!</v>
      </c>
      <c r="J30" s="10" t="e">
        <f t="shared" si="29"/>
        <v>#DIV/0!</v>
      </c>
      <c r="K30" s="10" t="e">
        <f t="shared" si="29"/>
        <v>#DIV/0!</v>
      </c>
      <c r="L30" s="10" t="e">
        <f t="shared" si="29"/>
        <v>#DIV/0!</v>
      </c>
      <c r="M30" s="10" t="e">
        <f t="shared" si="29"/>
        <v>#DIV/0!</v>
      </c>
      <c r="N30" s="10" t="e">
        <f t="shared" si="29"/>
        <v>#DIV/0!</v>
      </c>
      <c r="O30" s="10" t="e">
        <f t="shared" si="29"/>
        <v>#DIV/0!</v>
      </c>
      <c r="P30" s="10" t="e">
        <f t="shared" si="29"/>
        <v>#DIV/0!</v>
      </c>
      <c r="Q30" s="10" t="e">
        <f t="shared" si="29"/>
        <v>#DIV/0!</v>
      </c>
      <c r="R30" s="10" t="e">
        <f t="shared" si="29"/>
        <v>#DIV/0!</v>
      </c>
      <c r="S30" s="10" t="e">
        <f t="shared" si="29"/>
        <v>#DIV/0!</v>
      </c>
      <c r="T30" s="10" t="e">
        <f t="shared" si="29"/>
        <v>#DIV/0!</v>
      </c>
      <c r="U30" s="10" t="e">
        <f t="shared" si="29"/>
        <v>#DIV/0!</v>
      </c>
      <c r="V30" s="10" t="e">
        <f t="shared" si="29"/>
        <v>#DIV/0!</v>
      </c>
    </row>
    <row r="31" spans="1:22" ht="15" customHeight="1" x14ac:dyDescent="0.25">
      <c r="A31" s="12" t="s">
        <v>30</v>
      </c>
      <c r="B31" s="13" t="s">
        <v>23</v>
      </c>
      <c r="C31" s="10" t="str">
        <f t="shared" ref="C31:V31" si="30">IF(C18&gt;=C30,"erfüllt","verletzt")</f>
        <v>erfüllt</v>
      </c>
      <c r="D31" s="10" t="str">
        <f t="shared" si="30"/>
        <v>erfüllt</v>
      </c>
      <c r="E31" s="10" t="str">
        <f t="shared" si="30"/>
        <v>erfüllt</v>
      </c>
      <c r="F31" s="10" t="str">
        <f t="shared" si="30"/>
        <v>erfüllt</v>
      </c>
      <c r="G31" s="10" t="e">
        <f t="shared" si="30"/>
        <v>#DIV/0!</v>
      </c>
      <c r="H31" s="10" t="e">
        <f t="shared" si="30"/>
        <v>#DIV/0!</v>
      </c>
      <c r="I31" s="10" t="e">
        <f t="shared" si="30"/>
        <v>#DIV/0!</v>
      </c>
      <c r="J31" s="10" t="e">
        <f t="shared" si="30"/>
        <v>#DIV/0!</v>
      </c>
      <c r="K31" s="10" t="e">
        <f t="shared" si="30"/>
        <v>#DIV/0!</v>
      </c>
      <c r="L31" s="10" t="e">
        <f t="shared" si="30"/>
        <v>#DIV/0!</v>
      </c>
      <c r="M31" s="10" t="e">
        <f t="shared" si="30"/>
        <v>#DIV/0!</v>
      </c>
      <c r="N31" s="10" t="e">
        <f t="shared" si="30"/>
        <v>#DIV/0!</v>
      </c>
      <c r="O31" s="10" t="e">
        <f t="shared" si="30"/>
        <v>#DIV/0!</v>
      </c>
      <c r="P31" s="10" t="e">
        <f t="shared" si="30"/>
        <v>#DIV/0!</v>
      </c>
      <c r="Q31" s="10" t="e">
        <f t="shared" si="30"/>
        <v>#DIV/0!</v>
      </c>
      <c r="R31" s="10" t="e">
        <f t="shared" si="30"/>
        <v>#DIV/0!</v>
      </c>
      <c r="S31" s="10" t="e">
        <f t="shared" si="30"/>
        <v>#DIV/0!</v>
      </c>
      <c r="T31" s="10" t="e">
        <f t="shared" si="30"/>
        <v>#DIV/0!</v>
      </c>
      <c r="U31" s="10" t="e">
        <f t="shared" si="30"/>
        <v>#DIV/0!</v>
      </c>
      <c r="V31" s="10" t="e">
        <f t="shared" si="30"/>
        <v>#DIV/0!</v>
      </c>
    </row>
    <row r="32" spans="1:22" s="3" customFormat="1" ht="15" customHeight="1" x14ac:dyDescent="0.25">
      <c r="A32" s="18" t="s">
        <v>24</v>
      </c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s="33" customFormat="1" ht="15" customHeight="1" x14ac:dyDescent="0.25">
      <c r="A33" s="31" t="s">
        <v>97</v>
      </c>
      <c r="B33" s="32" t="s">
        <v>22</v>
      </c>
      <c r="C33" s="41">
        <f t="shared" ref="C33:V33" si="31">C12+4*C18+6</f>
        <v>14.6</v>
      </c>
      <c r="D33" s="41">
        <f t="shared" si="31"/>
        <v>14.4</v>
      </c>
      <c r="E33" s="41">
        <f t="shared" si="31"/>
        <v>22.2</v>
      </c>
      <c r="F33" s="41">
        <f t="shared" si="31"/>
        <v>13.4</v>
      </c>
      <c r="G33" s="41">
        <f t="shared" si="31"/>
        <v>6</v>
      </c>
      <c r="H33" s="41">
        <f t="shared" si="31"/>
        <v>6</v>
      </c>
      <c r="I33" s="41">
        <f t="shared" si="31"/>
        <v>6</v>
      </c>
      <c r="J33" s="41">
        <f t="shared" si="31"/>
        <v>6</v>
      </c>
      <c r="K33" s="41">
        <f t="shared" si="31"/>
        <v>6</v>
      </c>
      <c r="L33" s="41">
        <f t="shared" si="31"/>
        <v>6</v>
      </c>
      <c r="M33" s="41">
        <f t="shared" si="31"/>
        <v>6</v>
      </c>
      <c r="N33" s="41">
        <f t="shared" si="31"/>
        <v>6</v>
      </c>
      <c r="O33" s="41">
        <f t="shared" si="31"/>
        <v>6</v>
      </c>
      <c r="P33" s="41">
        <f t="shared" si="31"/>
        <v>6</v>
      </c>
      <c r="Q33" s="41">
        <f t="shared" si="31"/>
        <v>6</v>
      </c>
      <c r="R33" s="41">
        <f t="shared" si="31"/>
        <v>6</v>
      </c>
      <c r="S33" s="41">
        <f t="shared" si="31"/>
        <v>6</v>
      </c>
      <c r="T33" s="41">
        <f t="shared" si="31"/>
        <v>6</v>
      </c>
      <c r="U33" s="41">
        <f t="shared" si="31"/>
        <v>6</v>
      </c>
      <c r="V33" s="41">
        <f t="shared" si="31"/>
        <v>6</v>
      </c>
    </row>
    <row r="35" spans="1:22" ht="15" customHeight="1" x14ac:dyDescent="0.25">
      <c r="C35" s="38"/>
    </row>
    <row r="36" spans="1:22" ht="15" customHeight="1" x14ac:dyDescent="0.25">
      <c r="C36" s="38"/>
    </row>
    <row r="37" spans="1:22" ht="15" customHeight="1" x14ac:dyDescent="0.25">
      <c r="C37" s="38"/>
    </row>
    <row r="38" spans="1:22" ht="15" customHeight="1" x14ac:dyDescent="0.25">
      <c r="C38" s="38"/>
    </row>
    <row r="39" spans="1:22" ht="15" customHeight="1" x14ac:dyDescent="0.25">
      <c r="C39" s="38"/>
    </row>
    <row r="40" spans="1:22" ht="15" customHeight="1" x14ac:dyDescent="0.25">
      <c r="C40" s="6"/>
    </row>
    <row r="41" spans="1:22" ht="15" customHeight="1" x14ac:dyDescent="0.25">
      <c r="C41" s="6"/>
    </row>
    <row r="42" spans="1:22" ht="15" customHeight="1" x14ac:dyDescent="0.25">
      <c r="C42" s="6"/>
    </row>
    <row r="43" spans="1:22" ht="15" customHeight="1" x14ac:dyDescent="0.25">
      <c r="C43" s="6"/>
    </row>
  </sheetData>
  <conditionalFormatting sqref="A1:XFD1048576">
    <cfRule type="containsText" dxfId="7" priority="3" operator="containsText" text="verletzt">
      <formula>NOT(ISERROR(SEARCH("verletzt",A1)))</formula>
    </cfRule>
    <cfRule type="containsText" dxfId="6" priority="4" operator="containsText" text="erfüllt">
      <formula>NOT(ISERROR(SEARCH("erfüllt",A1)))</formula>
    </cfRule>
  </conditionalFormatting>
  <dataValidations count="2">
    <dataValidation type="list" allowBlank="1" showInputMessage="1" showErrorMessage="1" sqref="C7:XFD7" xr:uid="{00000000-0002-0000-0100-000000000000}">
      <formula1>"ja,nein"</formula1>
    </dataValidation>
    <dataValidation type="list" allowBlank="1" showInputMessage="1" showErrorMessage="1" sqref="C6:V6" xr:uid="{00000000-0002-0000-0100-000001000000}">
      <formula1>"null,klein,mittel,gross"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activeCell="E12" sqref="E12"/>
    </sheetView>
  </sheetViews>
  <sheetFormatPr baseColWidth="10" defaultColWidth="8.69921875" defaultRowHeight="13.8" x14ac:dyDescent="0.25"/>
  <cols>
    <col min="1" max="1" width="37.5" customWidth="1"/>
    <col min="2" max="2" width="20" customWidth="1"/>
  </cols>
  <sheetData>
    <row r="1" spans="1:22" s="1" customFormat="1" ht="15" customHeight="1" x14ac:dyDescent="0.25">
      <c r="A1" s="7" t="s">
        <v>57</v>
      </c>
      <c r="C1" s="2"/>
    </row>
    <row r="2" spans="1:22" s="1" customFormat="1" ht="15" customHeight="1" x14ac:dyDescent="0.25">
      <c r="C2" s="2"/>
    </row>
    <row r="3" spans="1:22" s="3" customFormat="1" ht="15" customHeight="1" x14ac:dyDescent="0.25">
      <c r="A3" s="29" t="s">
        <v>7</v>
      </c>
      <c r="B3" s="30"/>
      <c r="C3" s="26" t="s">
        <v>64</v>
      </c>
      <c r="D3" s="8" t="s">
        <v>65</v>
      </c>
      <c r="E3" s="8" t="s">
        <v>66</v>
      </c>
      <c r="F3" s="8" t="s">
        <v>67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3" customFormat="1" ht="15" customHeight="1" x14ac:dyDescent="0.25">
      <c r="A4" s="27" t="s">
        <v>19</v>
      </c>
      <c r="B4" s="28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s="1" customFormat="1" ht="15" customHeight="1" x14ac:dyDescent="0.25">
      <c r="A5" s="12" t="s">
        <v>5</v>
      </c>
      <c r="B5" s="13" t="s">
        <v>33</v>
      </c>
      <c r="C5" s="9" t="s">
        <v>68</v>
      </c>
      <c r="D5" s="9" t="s">
        <v>69</v>
      </c>
      <c r="E5" s="9" t="s">
        <v>70</v>
      </c>
      <c r="F5" s="9" t="s">
        <v>71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1" customFormat="1" ht="15" customHeight="1" x14ac:dyDescent="0.25">
      <c r="A6" s="12" t="s">
        <v>35</v>
      </c>
      <c r="B6" s="13" t="s">
        <v>32</v>
      </c>
      <c r="C6" s="9" t="s">
        <v>72</v>
      </c>
      <c r="D6" s="9" t="s">
        <v>72</v>
      </c>
      <c r="E6" s="9" t="s">
        <v>74</v>
      </c>
      <c r="F6" s="9" t="s">
        <v>75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" customFormat="1" ht="15" customHeight="1" x14ac:dyDescent="0.25">
      <c r="A7" s="12" t="s">
        <v>4</v>
      </c>
      <c r="B7" s="13" t="s">
        <v>8</v>
      </c>
      <c r="C7" s="9" t="s">
        <v>1</v>
      </c>
      <c r="D7" s="9" t="s">
        <v>73</v>
      </c>
      <c r="E7" s="9" t="s">
        <v>73</v>
      </c>
      <c r="F7" s="9" t="s">
        <v>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1" customFormat="1" ht="15" customHeight="1" x14ac:dyDescent="0.25">
      <c r="A8" s="12" t="s">
        <v>3</v>
      </c>
      <c r="B8" s="13" t="s">
        <v>20</v>
      </c>
      <c r="C8" s="10" t="str">
        <f>IF(AND(OR(C6="null",C6="klein"),C7="nein"),"HQ100","HQ300")</f>
        <v>HQ100</v>
      </c>
      <c r="D8" s="10" t="str">
        <f t="shared" ref="D8:V8" si="0">IF(AND(OR(D6="null",D6="klein"),D7="nein"),"HQ100","HQ300")</f>
        <v>HQ300</v>
      </c>
      <c r="E8" s="10" t="str">
        <f t="shared" si="0"/>
        <v>HQ300</v>
      </c>
      <c r="F8" s="10" t="str">
        <f t="shared" si="0"/>
        <v>HQ100</v>
      </c>
      <c r="G8" s="10" t="str">
        <f t="shared" si="0"/>
        <v>HQ300</v>
      </c>
      <c r="H8" s="10" t="str">
        <f t="shared" si="0"/>
        <v>HQ300</v>
      </c>
      <c r="I8" s="10" t="str">
        <f t="shared" si="0"/>
        <v>HQ300</v>
      </c>
      <c r="J8" s="10" t="str">
        <f t="shared" si="0"/>
        <v>HQ300</v>
      </c>
      <c r="K8" s="10" t="str">
        <f t="shared" si="0"/>
        <v>HQ300</v>
      </c>
      <c r="L8" s="10" t="str">
        <f t="shared" si="0"/>
        <v>HQ300</v>
      </c>
      <c r="M8" s="10" t="str">
        <f t="shared" si="0"/>
        <v>HQ300</v>
      </c>
      <c r="N8" s="10" t="str">
        <f t="shared" si="0"/>
        <v>HQ300</v>
      </c>
      <c r="O8" s="10" t="str">
        <f t="shared" si="0"/>
        <v>HQ300</v>
      </c>
      <c r="P8" s="10" t="str">
        <f t="shared" si="0"/>
        <v>HQ300</v>
      </c>
      <c r="Q8" s="10" t="str">
        <f t="shared" si="0"/>
        <v>HQ300</v>
      </c>
      <c r="R8" s="10" t="str">
        <f t="shared" si="0"/>
        <v>HQ300</v>
      </c>
      <c r="S8" s="10" t="str">
        <f t="shared" si="0"/>
        <v>HQ300</v>
      </c>
      <c r="T8" s="10" t="str">
        <f t="shared" si="0"/>
        <v>HQ300</v>
      </c>
      <c r="U8" s="10" t="str">
        <f t="shared" si="0"/>
        <v>HQ300</v>
      </c>
      <c r="V8" s="10" t="str">
        <f t="shared" si="0"/>
        <v>HQ300</v>
      </c>
    </row>
    <row r="9" spans="1:22" s="6" customFormat="1" ht="15" customHeight="1" x14ac:dyDescent="0.25">
      <c r="A9" s="16" t="s">
        <v>0</v>
      </c>
      <c r="B9" s="17" t="s">
        <v>21</v>
      </c>
      <c r="C9" s="9">
        <v>3.2</v>
      </c>
      <c r="D9" s="9">
        <v>4.5</v>
      </c>
      <c r="E9" s="9">
        <v>1.2</v>
      </c>
      <c r="F9" s="9">
        <v>0.8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3" customFormat="1" ht="15" customHeight="1" x14ac:dyDescent="0.25">
      <c r="A10" s="18" t="s">
        <v>51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s="4" customFormat="1" ht="15" customHeight="1" x14ac:dyDescent="0.25">
      <c r="A11" s="46" t="s">
        <v>99</v>
      </c>
      <c r="B11" s="47" t="s">
        <v>22</v>
      </c>
      <c r="C11" s="9">
        <v>0.6</v>
      </c>
      <c r="D11" s="9">
        <v>0.5</v>
      </c>
      <c r="E11" s="9">
        <v>0.4</v>
      </c>
      <c r="F11" s="9">
        <v>1.5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4" customFormat="1" ht="15" customHeight="1" x14ac:dyDescent="0.25">
      <c r="A12" s="46" t="s">
        <v>98</v>
      </c>
      <c r="B12" s="47" t="s">
        <v>22</v>
      </c>
      <c r="C12" s="9">
        <v>0.6</v>
      </c>
      <c r="D12" s="9">
        <v>1.4</v>
      </c>
      <c r="E12" s="9">
        <v>0.7</v>
      </c>
      <c r="F12" s="9">
        <v>1.5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1" customFormat="1" ht="15" customHeight="1" x14ac:dyDescent="0.25">
      <c r="A13" s="12" t="s">
        <v>102</v>
      </c>
      <c r="B13" s="13" t="s">
        <v>23</v>
      </c>
      <c r="C13" s="10" t="str">
        <f>IF(C12&lt;C11,"verletzt","erfüllt")</f>
        <v>erfüllt</v>
      </c>
      <c r="D13" s="10" t="str">
        <f t="shared" ref="D13:V13" si="1">IF(D12&lt;D11,"verletzt","erfüllt")</f>
        <v>erfüllt</v>
      </c>
      <c r="E13" s="10" t="str">
        <f t="shared" si="1"/>
        <v>erfüllt</v>
      </c>
      <c r="F13" s="10" t="str">
        <f t="shared" si="1"/>
        <v>erfüllt</v>
      </c>
      <c r="G13" s="10" t="str">
        <f t="shared" si="1"/>
        <v>erfüllt</v>
      </c>
      <c r="H13" s="10" t="str">
        <f t="shared" si="1"/>
        <v>erfüllt</v>
      </c>
      <c r="I13" s="10" t="str">
        <f t="shared" si="1"/>
        <v>erfüllt</v>
      </c>
      <c r="J13" s="10" t="str">
        <f t="shared" si="1"/>
        <v>erfüllt</v>
      </c>
      <c r="K13" s="10" t="str">
        <f t="shared" si="1"/>
        <v>erfüllt</v>
      </c>
      <c r="L13" s="10" t="str">
        <f t="shared" si="1"/>
        <v>erfüllt</v>
      </c>
      <c r="M13" s="10" t="str">
        <f t="shared" si="1"/>
        <v>erfüllt</v>
      </c>
      <c r="N13" s="10" t="str">
        <f t="shared" si="1"/>
        <v>erfüllt</v>
      </c>
      <c r="O13" s="10" t="str">
        <f t="shared" si="1"/>
        <v>erfüllt</v>
      </c>
      <c r="P13" s="10" t="str">
        <f t="shared" si="1"/>
        <v>erfüllt</v>
      </c>
      <c r="Q13" s="10" t="str">
        <f t="shared" si="1"/>
        <v>erfüllt</v>
      </c>
      <c r="R13" s="10" t="str">
        <f t="shared" si="1"/>
        <v>erfüllt</v>
      </c>
      <c r="S13" s="10" t="str">
        <f t="shared" si="1"/>
        <v>erfüllt</v>
      </c>
      <c r="T13" s="10" t="str">
        <f t="shared" si="1"/>
        <v>erfüllt</v>
      </c>
      <c r="U13" s="10" t="str">
        <f t="shared" si="1"/>
        <v>erfüllt</v>
      </c>
      <c r="V13" s="10" t="str">
        <f t="shared" si="1"/>
        <v>erfüllt</v>
      </c>
    </row>
    <row r="14" spans="1:22" s="5" customFormat="1" ht="15" customHeight="1" x14ac:dyDescent="0.25">
      <c r="A14" s="14" t="s">
        <v>43</v>
      </c>
      <c r="B14" s="15" t="s">
        <v>23</v>
      </c>
      <c r="C14" s="11">
        <v>0.15</v>
      </c>
      <c r="D14" s="11">
        <v>0.01</v>
      </c>
      <c r="E14" s="11">
        <v>1.7999999999999999E-2</v>
      </c>
      <c r="F14" s="11">
        <v>0.08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24" customFormat="1" ht="15" customHeight="1" x14ac:dyDescent="0.25">
      <c r="A15" s="21" t="s">
        <v>9</v>
      </c>
      <c r="B15" s="22" t="s">
        <v>94</v>
      </c>
      <c r="C15" s="23">
        <v>50</v>
      </c>
      <c r="D15" s="23">
        <v>60</v>
      </c>
      <c r="E15" s="23">
        <v>90</v>
      </c>
      <c r="F15" s="23">
        <v>60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s="1" customFormat="1" ht="15" customHeight="1" x14ac:dyDescent="0.25">
      <c r="A16" s="12" t="s">
        <v>28</v>
      </c>
      <c r="B16" s="13" t="s">
        <v>23</v>
      </c>
      <c r="C16" s="10" t="str">
        <f>IF(AND(C15&gt;=50,C15&lt;=90),"erfüllt","verletzt")</f>
        <v>erfüllt</v>
      </c>
      <c r="D16" s="10" t="str">
        <f t="shared" ref="D16:V16" si="2">IF(AND(D15&gt;=50,D15&lt;=90),"erfüllt","verletzt")</f>
        <v>erfüllt</v>
      </c>
      <c r="E16" s="10" t="str">
        <f t="shared" si="2"/>
        <v>erfüllt</v>
      </c>
      <c r="F16" s="10" t="str">
        <f t="shared" si="2"/>
        <v>erfüllt</v>
      </c>
      <c r="G16" s="10" t="str">
        <f t="shared" si="2"/>
        <v>verletzt</v>
      </c>
      <c r="H16" s="10" t="str">
        <f t="shared" si="2"/>
        <v>verletzt</v>
      </c>
      <c r="I16" s="10" t="str">
        <f t="shared" si="2"/>
        <v>verletzt</v>
      </c>
      <c r="J16" s="10" t="str">
        <f t="shared" si="2"/>
        <v>verletzt</v>
      </c>
      <c r="K16" s="10" t="str">
        <f t="shared" si="2"/>
        <v>verletzt</v>
      </c>
      <c r="L16" s="10" t="str">
        <f t="shared" si="2"/>
        <v>verletzt</v>
      </c>
      <c r="M16" s="10" t="str">
        <f t="shared" si="2"/>
        <v>verletzt</v>
      </c>
      <c r="N16" s="10" t="str">
        <f t="shared" si="2"/>
        <v>verletzt</v>
      </c>
      <c r="O16" s="10" t="str">
        <f t="shared" si="2"/>
        <v>verletzt</v>
      </c>
      <c r="P16" s="10" t="str">
        <f t="shared" si="2"/>
        <v>verletzt</v>
      </c>
      <c r="Q16" s="10" t="str">
        <f t="shared" si="2"/>
        <v>verletzt</v>
      </c>
      <c r="R16" s="10" t="str">
        <f t="shared" si="2"/>
        <v>verletzt</v>
      </c>
      <c r="S16" s="10" t="str">
        <f t="shared" si="2"/>
        <v>verletzt</v>
      </c>
      <c r="T16" s="10" t="str">
        <f t="shared" si="2"/>
        <v>verletzt</v>
      </c>
      <c r="U16" s="10" t="str">
        <f t="shared" si="2"/>
        <v>verletzt</v>
      </c>
      <c r="V16" s="10" t="str">
        <f t="shared" si="2"/>
        <v>verletzt</v>
      </c>
    </row>
    <row r="17" spans="1:22" s="3" customFormat="1" ht="15" customHeight="1" x14ac:dyDescent="0.25">
      <c r="A17" s="29" t="s">
        <v>52</v>
      </c>
      <c r="B17" s="3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s="3" customFormat="1" ht="15" customHeight="1" x14ac:dyDescent="0.25">
      <c r="A18" s="21" t="s">
        <v>85</v>
      </c>
      <c r="B18" s="22" t="s">
        <v>54</v>
      </c>
      <c r="C18" s="37">
        <f>IF(C14&gt;0.02,0.6,0.85)</f>
        <v>0.6</v>
      </c>
      <c r="D18" s="37">
        <f t="shared" ref="D18:V18" si="3">IF(D14&gt;0.02,0.6,0.85)</f>
        <v>0.85</v>
      </c>
      <c r="E18" s="37">
        <f t="shared" si="3"/>
        <v>0.85</v>
      </c>
      <c r="F18" s="37">
        <f t="shared" si="3"/>
        <v>0.6</v>
      </c>
      <c r="G18" s="37">
        <f t="shared" si="3"/>
        <v>0.85</v>
      </c>
      <c r="H18" s="37">
        <f t="shared" si="3"/>
        <v>0.85</v>
      </c>
      <c r="I18" s="37">
        <f t="shared" si="3"/>
        <v>0.85</v>
      </c>
      <c r="J18" s="37">
        <f t="shared" si="3"/>
        <v>0.85</v>
      </c>
      <c r="K18" s="37">
        <f t="shared" si="3"/>
        <v>0.85</v>
      </c>
      <c r="L18" s="37">
        <f t="shared" si="3"/>
        <v>0.85</v>
      </c>
      <c r="M18" s="37">
        <f t="shared" si="3"/>
        <v>0.85</v>
      </c>
      <c r="N18" s="37">
        <f t="shared" si="3"/>
        <v>0.85</v>
      </c>
      <c r="O18" s="37">
        <f t="shared" si="3"/>
        <v>0.85</v>
      </c>
      <c r="P18" s="37">
        <f t="shared" si="3"/>
        <v>0.85</v>
      </c>
      <c r="Q18" s="37">
        <f t="shared" si="3"/>
        <v>0.85</v>
      </c>
      <c r="R18" s="37">
        <f t="shared" si="3"/>
        <v>0.85</v>
      </c>
      <c r="S18" s="37">
        <f t="shared" si="3"/>
        <v>0.85</v>
      </c>
      <c r="T18" s="37">
        <f t="shared" si="3"/>
        <v>0.85</v>
      </c>
      <c r="U18" s="37">
        <f t="shared" si="3"/>
        <v>0.85</v>
      </c>
      <c r="V18" s="37">
        <f t="shared" si="3"/>
        <v>0.85</v>
      </c>
    </row>
    <row r="19" spans="1:22" s="3" customFormat="1" ht="15" customHeight="1" x14ac:dyDescent="0.25">
      <c r="A19" s="21" t="s">
        <v>86</v>
      </c>
      <c r="B19" s="22" t="s">
        <v>22</v>
      </c>
      <c r="C19" s="10">
        <f>C18*C12</f>
        <v>0.36</v>
      </c>
      <c r="D19" s="10">
        <f t="shared" ref="D19:V19" si="4">D18*D12</f>
        <v>1.19</v>
      </c>
      <c r="E19" s="10">
        <f t="shared" si="4"/>
        <v>0.59499999999999997</v>
      </c>
      <c r="F19" s="10">
        <f>F18*F12</f>
        <v>0.89999999999999991</v>
      </c>
      <c r="G19" s="10">
        <f t="shared" si="4"/>
        <v>0</v>
      </c>
      <c r="H19" s="10">
        <f t="shared" si="4"/>
        <v>0</v>
      </c>
      <c r="I19" s="10">
        <f t="shared" si="4"/>
        <v>0</v>
      </c>
      <c r="J19" s="10">
        <f t="shared" si="4"/>
        <v>0</v>
      </c>
      <c r="K19" s="10">
        <f t="shared" si="4"/>
        <v>0</v>
      </c>
      <c r="L19" s="10">
        <f t="shared" si="4"/>
        <v>0</v>
      </c>
      <c r="M19" s="10">
        <f t="shared" si="4"/>
        <v>0</v>
      </c>
      <c r="N19" s="10">
        <f t="shared" si="4"/>
        <v>0</v>
      </c>
      <c r="O19" s="10">
        <f t="shared" si="4"/>
        <v>0</v>
      </c>
      <c r="P19" s="10">
        <f t="shared" si="4"/>
        <v>0</v>
      </c>
      <c r="Q19" s="10">
        <f t="shared" si="4"/>
        <v>0</v>
      </c>
      <c r="R19" s="10">
        <f t="shared" si="4"/>
        <v>0</v>
      </c>
      <c r="S19" s="10">
        <f t="shared" si="4"/>
        <v>0</v>
      </c>
      <c r="T19" s="10">
        <f t="shared" si="4"/>
        <v>0</v>
      </c>
      <c r="U19" s="10">
        <f t="shared" si="4"/>
        <v>0</v>
      </c>
      <c r="V19" s="10">
        <f t="shared" si="4"/>
        <v>0</v>
      </c>
    </row>
    <row r="20" spans="1:22" s="6" customFormat="1" ht="15" customHeight="1" x14ac:dyDescent="0.25">
      <c r="A20" s="16" t="s">
        <v>11</v>
      </c>
      <c r="B20" s="17" t="s">
        <v>26</v>
      </c>
      <c r="C20" s="10">
        <f>PI()*C12^2/4-C12^2/8*(2*ACOS(1-(C12-C19)/(C12/2))-SIN(2*ACOS(1-(C12-C19)/(C12/2))))</f>
        <v>0.17713020843070937</v>
      </c>
      <c r="D20" s="10">
        <f t="shared" ref="D20:V20" si="5">PI()*D12^2/4-D12^2/8*(2*ACOS(1-(D12-D19)/(D12/2))-SIN(2*ACOS(1-(D12-D19)/(D12/2))))</f>
        <v>1.3945859685677879</v>
      </c>
      <c r="E20" s="10">
        <f t="shared" si="5"/>
        <v>0.34864649214194698</v>
      </c>
      <c r="F20" s="10">
        <f t="shared" si="5"/>
        <v>1.1070638026919333</v>
      </c>
      <c r="G20" s="10" t="e">
        <f t="shared" si="5"/>
        <v>#DIV/0!</v>
      </c>
      <c r="H20" s="10" t="e">
        <f t="shared" si="5"/>
        <v>#DIV/0!</v>
      </c>
      <c r="I20" s="10" t="e">
        <f t="shared" si="5"/>
        <v>#DIV/0!</v>
      </c>
      <c r="J20" s="10" t="e">
        <f t="shared" si="5"/>
        <v>#DIV/0!</v>
      </c>
      <c r="K20" s="10" t="e">
        <f t="shared" si="5"/>
        <v>#DIV/0!</v>
      </c>
      <c r="L20" s="10" t="e">
        <f t="shared" si="5"/>
        <v>#DIV/0!</v>
      </c>
      <c r="M20" s="10" t="e">
        <f t="shared" si="5"/>
        <v>#DIV/0!</v>
      </c>
      <c r="N20" s="10" t="e">
        <f t="shared" si="5"/>
        <v>#DIV/0!</v>
      </c>
      <c r="O20" s="10" t="e">
        <f t="shared" si="5"/>
        <v>#DIV/0!</v>
      </c>
      <c r="P20" s="10" t="e">
        <f t="shared" si="5"/>
        <v>#DIV/0!</v>
      </c>
      <c r="Q20" s="10" t="e">
        <f t="shared" si="5"/>
        <v>#DIV/0!</v>
      </c>
      <c r="R20" s="10" t="e">
        <f t="shared" si="5"/>
        <v>#DIV/0!</v>
      </c>
      <c r="S20" s="10" t="e">
        <f t="shared" si="5"/>
        <v>#DIV/0!</v>
      </c>
      <c r="T20" s="10" t="e">
        <f t="shared" si="5"/>
        <v>#DIV/0!</v>
      </c>
      <c r="U20" s="10" t="e">
        <f t="shared" si="5"/>
        <v>#DIV/0!</v>
      </c>
      <c r="V20" s="10" t="e">
        <f t="shared" si="5"/>
        <v>#DIV/0!</v>
      </c>
    </row>
    <row r="21" spans="1:22" s="6" customFormat="1" ht="15" customHeight="1" x14ac:dyDescent="0.25">
      <c r="A21" s="16" t="s">
        <v>12</v>
      </c>
      <c r="B21" s="17" t="s">
        <v>22</v>
      </c>
      <c r="C21" s="10">
        <f>PI()*C12-C12/2*2*ACOS(1-(C12-C19)/(C12/2))</f>
        <v>1.0632925485511366</v>
      </c>
      <c r="D21" s="10">
        <f t="shared" ref="D21:V21" si="6">PI()*D12-D12/2*2*ACOS(1-(D12-D19)/(D12/2))</f>
        <v>3.2846713527679094</v>
      </c>
      <c r="E21" s="10">
        <f t="shared" si="6"/>
        <v>1.6423356763839547</v>
      </c>
      <c r="F21" s="10">
        <f t="shared" si="6"/>
        <v>2.6582313713778407</v>
      </c>
      <c r="G21" s="10" t="e">
        <f t="shared" si="6"/>
        <v>#DIV/0!</v>
      </c>
      <c r="H21" s="10" t="e">
        <f t="shared" si="6"/>
        <v>#DIV/0!</v>
      </c>
      <c r="I21" s="10" t="e">
        <f t="shared" si="6"/>
        <v>#DIV/0!</v>
      </c>
      <c r="J21" s="10" t="e">
        <f t="shared" si="6"/>
        <v>#DIV/0!</v>
      </c>
      <c r="K21" s="10" t="e">
        <f t="shared" si="6"/>
        <v>#DIV/0!</v>
      </c>
      <c r="L21" s="10" t="e">
        <f t="shared" si="6"/>
        <v>#DIV/0!</v>
      </c>
      <c r="M21" s="10" t="e">
        <f t="shared" si="6"/>
        <v>#DIV/0!</v>
      </c>
      <c r="N21" s="10" t="e">
        <f t="shared" si="6"/>
        <v>#DIV/0!</v>
      </c>
      <c r="O21" s="10" t="e">
        <f t="shared" si="6"/>
        <v>#DIV/0!</v>
      </c>
      <c r="P21" s="10" t="e">
        <f t="shared" si="6"/>
        <v>#DIV/0!</v>
      </c>
      <c r="Q21" s="10" t="e">
        <f t="shared" si="6"/>
        <v>#DIV/0!</v>
      </c>
      <c r="R21" s="10" t="e">
        <f t="shared" si="6"/>
        <v>#DIV/0!</v>
      </c>
      <c r="S21" s="10" t="e">
        <f t="shared" si="6"/>
        <v>#DIV/0!</v>
      </c>
      <c r="T21" s="10" t="e">
        <f t="shared" si="6"/>
        <v>#DIV/0!</v>
      </c>
      <c r="U21" s="10" t="e">
        <f t="shared" si="6"/>
        <v>#DIV/0!</v>
      </c>
      <c r="V21" s="10" t="e">
        <f t="shared" si="6"/>
        <v>#DIV/0!</v>
      </c>
    </row>
    <row r="22" spans="1:22" s="6" customFormat="1" ht="15" customHeight="1" x14ac:dyDescent="0.25">
      <c r="A22" s="16" t="s">
        <v>13</v>
      </c>
      <c r="B22" s="17" t="s">
        <v>22</v>
      </c>
      <c r="C22" s="10">
        <f>C20/C21</f>
        <v>0.16658652284554282</v>
      </c>
      <c r="D22" s="10">
        <f t="shared" ref="D22:V22" si="7">D20/D21</f>
        <v>0.42457397370747779</v>
      </c>
      <c r="E22" s="10">
        <f t="shared" si="7"/>
        <v>0.2122869868537389</v>
      </c>
      <c r="F22" s="10">
        <f t="shared" si="7"/>
        <v>0.41646630711385707</v>
      </c>
      <c r="G22" s="10" t="e">
        <f t="shared" si="7"/>
        <v>#DIV/0!</v>
      </c>
      <c r="H22" s="10" t="e">
        <f t="shared" si="7"/>
        <v>#DIV/0!</v>
      </c>
      <c r="I22" s="10" t="e">
        <f t="shared" si="7"/>
        <v>#DIV/0!</v>
      </c>
      <c r="J22" s="10" t="e">
        <f t="shared" si="7"/>
        <v>#DIV/0!</v>
      </c>
      <c r="K22" s="10" t="e">
        <f t="shared" si="7"/>
        <v>#DIV/0!</v>
      </c>
      <c r="L22" s="10" t="e">
        <f t="shared" si="7"/>
        <v>#DIV/0!</v>
      </c>
      <c r="M22" s="10" t="e">
        <f t="shared" si="7"/>
        <v>#DIV/0!</v>
      </c>
      <c r="N22" s="10" t="e">
        <f t="shared" si="7"/>
        <v>#DIV/0!</v>
      </c>
      <c r="O22" s="10" t="e">
        <f t="shared" si="7"/>
        <v>#DIV/0!</v>
      </c>
      <c r="P22" s="10" t="e">
        <f t="shared" si="7"/>
        <v>#DIV/0!</v>
      </c>
      <c r="Q22" s="10" t="e">
        <f t="shared" si="7"/>
        <v>#DIV/0!</v>
      </c>
      <c r="R22" s="10" t="e">
        <f t="shared" si="7"/>
        <v>#DIV/0!</v>
      </c>
      <c r="S22" s="10" t="e">
        <f t="shared" si="7"/>
        <v>#DIV/0!</v>
      </c>
      <c r="T22" s="10" t="e">
        <f t="shared" si="7"/>
        <v>#DIV/0!</v>
      </c>
      <c r="U22" s="10" t="e">
        <f t="shared" si="7"/>
        <v>#DIV/0!</v>
      </c>
      <c r="V22" s="10" t="e">
        <f t="shared" si="7"/>
        <v>#DIV/0!</v>
      </c>
    </row>
    <row r="23" spans="1:22" s="6" customFormat="1" ht="15" customHeight="1" x14ac:dyDescent="0.25">
      <c r="A23" s="16" t="s">
        <v>80</v>
      </c>
      <c r="B23" s="17" t="s">
        <v>25</v>
      </c>
      <c r="C23" s="10">
        <f>C15*C22^(2/3)*SQRT(C14)</f>
        <v>5.862851256397354</v>
      </c>
      <c r="D23" s="10">
        <f t="shared" ref="D23:V23" si="8">D15*D22^(2/3)*SQRT(D14)</f>
        <v>3.3893792215932828</v>
      </c>
      <c r="E23" s="10">
        <f t="shared" si="8"/>
        <v>4.2969570282505769</v>
      </c>
      <c r="F23" s="10">
        <f t="shared" si="8"/>
        <v>9.4641763737287725</v>
      </c>
      <c r="G23" s="10" t="e">
        <f t="shared" si="8"/>
        <v>#DIV/0!</v>
      </c>
      <c r="H23" s="10" t="e">
        <f t="shared" si="8"/>
        <v>#DIV/0!</v>
      </c>
      <c r="I23" s="10" t="e">
        <f t="shared" si="8"/>
        <v>#DIV/0!</v>
      </c>
      <c r="J23" s="10" t="e">
        <f t="shared" si="8"/>
        <v>#DIV/0!</v>
      </c>
      <c r="K23" s="10" t="e">
        <f t="shared" si="8"/>
        <v>#DIV/0!</v>
      </c>
      <c r="L23" s="10" t="e">
        <f t="shared" si="8"/>
        <v>#DIV/0!</v>
      </c>
      <c r="M23" s="10" t="e">
        <f t="shared" si="8"/>
        <v>#DIV/0!</v>
      </c>
      <c r="N23" s="10" t="e">
        <f t="shared" si="8"/>
        <v>#DIV/0!</v>
      </c>
      <c r="O23" s="10" t="e">
        <f t="shared" si="8"/>
        <v>#DIV/0!</v>
      </c>
      <c r="P23" s="10" t="e">
        <f t="shared" si="8"/>
        <v>#DIV/0!</v>
      </c>
      <c r="Q23" s="10" t="e">
        <f t="shared" si="8"/>
        <v>#DIV/0!</v>
      </c>
      <c r="R23" s="10" t="e">
        <f t="shared" si="8"/>
        <v>#DIV/0!</v>
      </c>
      <c r="S23" s="10" t="e">
        <f t="shared" si="8"/>
        <v>#DIV/0!</v>
      </c>
      <c r="T23" s="10" t="e">
        <f t="shared" si="8"/>
        <v>#DIV/0!</v>
      </c>
      <c r="U23" s="10" t="e">
        <f t="shared" si="8"/>
        <v>#DIV/0!</v>
      </c>
      <c r="V23" s="10" t="e">
        <f t="shared" si="8"/>
        <v>#DIV/0!</v>
      </c>
    </row>
    <row r="24" spans="1:22" s="6" customFormat="1" ht="15" customHeight="1" x14ac:dyDescent="0.25">
      <c r="A24" s="16" t="s">
        <v>87</v>
      </c>
      <c r="B24" s="13" t="s">
        <v>23</v>
      </c>
      <c r="C24" s="10">
        <f>IF(C23&gt;5,5,C23)</f>
        <v>5</v>
      </c>
      <c r="D24" s="10">
        <f t="shared" ref="D24:V24" si="9">IF(D23&gt;5,5,D23)</f>
        <v>3.3893792215932828</v>
      </c>
      <c r="E24" s="10">
        <f t="shared" si="9"/>
        <v>4.2969570282505769</v>
      </c>
      <c r="F24" s="10">
        <f t="shared" si="9"/>
        <v>5</v>
      </c>
      <c r="G24" s="10" t="e">
        <f t="shared" si="9"/>
        <v>#DIV/0!</v>
      </c>
      <c r="H24" s="10" t="e">
        <f t="shared" si="9"/>
        <v>#DIV/0!</v>
      </c>
      <c r="I24" s="10" t="e">
        <f t="shared" si="9"/>
        <v>#DIV/0!</v>
      </c>
      <c r="J24" s="10" t="e">
        <f t="shared" si="9"/>
        <v>#DIV/0!</v>
      </c>
      <c r="K24" s="10" t="e">
        <f t="shared" si="9"/>
        <v>#DIV/0!</v>
      </c>
      <c r="L24" s="10" t="e">
        <f t="shared" si="9"/>
        <v>#DIV/0!</v>
      </c>
      <c r="M24" s="10" t="e">
        <f t="shared" si="9"/>
        <v>#DIV/0!</v>
      </c>
      <c r="N24" s="10" t="e">
        <f t="shared" si="9"/>
        <v>#DIV/0!</v>
      </c>
      <c r="O24" s="10" t="e">
        <f t="shared" si="9"/>
        <v>#DIV/0!</v>
      </c>
      <c r="P24" s="10" t="e">
        <f t="shared" si="9"/>
        <v>#DIV/0!</v>
      </c>
      <c r="Q24" s="10" t="e">
        <f t="shared" si="9"/>
        <v>#DIV/0!</v>
      </c>
      <c r="R24" s="10" t="e">
        <f t="shared" si="9"/>
        <v>#DIV/0!</v>
      </c>
      <c r="S24" s="10" t="e">
        <f t="shared" si="9"/>
        <v>#DIV/0!</v>
      </c>
      <c r="T24" s="10" t="e">
        <f t="shared" si="9"/>
        <v>#DIV/0!</v>
      </c>
      <c r="U24" s="10" t="e">
        <f t="shared" si="9"/>
        <v>#DIV/0!</v>
      </c>
      <c r="V24" s="10" t="e">
        <f t="shared" si="9"/>
        <v>#DIV/0!</v>
      </c>
    </row>
    <row r="25" spans="1:22" s="6" customFormat="1" ht="15" customHeight="1" x14ac:dyDescent="0.25">
      <c r="A25" s="16" t="s">
        <v>93</v>
      </c>
      <c r="B25" s="17" t="s">
        <v>26</v>
      </c>
      <c r="C25" s="10">
        <f t="shared" ref="C25:E25" si="10">IF(C23&gt;5,C9/C24,C20)</f>
        <v>0.64</v>
      </c>
      <c r="D25" s="10">
        <f t="shared" si="10"/>
        <v>1.3945859685677879</v>
      </c>
      <c r="E25" s="10">
        <f t="shared" si="10"/>
        <v>0.34864649214194698</v>
      </c>
      <c r="F25" s="10">
        <f>IF(F23&gt;5,F9/F24,F20)</f>
        <v>0.16</v>
      </c>
      <c r="G25" s="10" t="e">
        <f t="shared" ref="G25" si="11">IF(AND(G23&gt;5,G9/G24&gt;G20),G9/G24,G20)</f>
        <v>#DIV/0!</v>
      </c>
      <c r="H25" s="10" t="e">
        <f t="shared" ref="H25" si="12">IF(AND(H23&gt;5,H9/H24&gt;H20),H9/H24,H20)</f>
        <v>#DIV/0!</v>
      </c>
      <c r="I25" s="10" t="e">
        <f t="shared" ref="I25:J25" si="13">IF(AND(I23&gt;5,I9/I24&gt;I20),I9/I24,I20)</f>
        <v>#DIV/0!</v>
      </c>
      <c r="J25" s="10" t="e">
        <f t="shared" si="13"/>
        <v>#DIV/0!</v>
      </c>
      <c r="K25" s="10" t="e">
        <f t="shared" ref="K25" si="14">IF(AND(K23&gt;5,K9/K24&gt;K20),K9/K24,K20)</f>
        <v>#DIV/0!</v>
      </c>
      <c r="L25" s="10" t="e">
        <f t="shared" ref="L25" si="15">IF(AND(L23&gt;5,L9/L24&gt;L20),L9/L24,L20)</f>
        <v>#DIV/0!</v>
      </c>
      <c r="M25" s="10" t="e">
        <f t="shared" ref="M25:N25" si="16">IF(AND(M23&gt;5,M9/M24&gt;M20),M9/M24,M20)</f>
        <v>#DIV/0!</v>
      </c>
      <c r="N25" s="10" t="e">
        <f t="shared" si="16"/>
        <v>#DIV/0!</v>
      </c>
      <c r="O25" s="10" t="e">
        <f t="shared" ref="O25" si="17">IF(AND(O23&gt;5,O9/O24&gt;O20),O9/O24,O20)</f>
        <v>#DIV/0!</v>
      </c>
      <c r="P25" s="10" t="e">
        <f t="shared" ref="P25" si="18">IF(AND(P23&gt;5,P9/P24&gt;P20),P9/P24,P20)</f>
        <v>#DIV/0!</v>
      </c>
      <c r="Q25" s="10" t="e">
        <f t="shared" ref="Q25:R25" si="19">IF(AND(Q23&gt;5,Q9/Q24&gt;Q20),Q9/Q24,Q20)</f>
        <v>#DIV/0!</v>
      </c>
      <c r="R25" s="10" t="e">
        <f t="shared" si="19"/>
        <v>#DIV/0!</v>
      </c>
      <c r="S25" s="10" t="e">
        <f t="shared" ref="S25" si="20">IF(AND(S23&gt;5,S9/S24&gt;S20),S9/S24,S20)</f>
        <v>#DIV/0!</v>
      </c>
      <c r="T25" s="10" t="e">
        <f t="shared" ref="T25" si="21">IF(AND(T23&gt;5,T9/T24&gt;T20),T9/T24,T20)</f>
        <v>#DIV/0!</v>
      </c>
      <c r="U25" s="10" t="e">
        <f t="shared" ref="U25:V25" si="22">IF(AND(U23&gt;5,U9/U24&gt;U20),U9/U24,U20)</f>
        <v>#DIV/0!</v>
      </c>
      <c r="V25" s="10" t="e">
        <f t="shared" si="22"/>
        <v>#DIV/0!</v>
      </c>
    </row>
    <row r="26" spans="1:22" s="6" customFormat="1" ht="15" customHeight="1" x14ac:dyDescent="0.25">
      <c r="A26" s="43" t="s">
        <v>105</v>
      </c>
      <c r="B26" s="44" t="s">
        <v>22</v>
      </c>
      <c r="C26" s="45">
        <f t="shared" ref="C26" si="23">MAX(C11,IF(C23&gt;5,2*SQRT(C25/(PI()-(2*ACOS(1-2*(100%-C18))-SIN(2*ACOS(1-2*(100%-C18))))/2)),C12))</f>
        <v>1.1404990307823744</v>
      </c>
      <c r="D26" s="45">
        <f t="shared" ref="D26" si="24">MAX(D11,IF(D23&gt;5,2*SQRT(D25/(PI()-(2*ACOS(1-2*(100%-D18))-SIN(2*ACOS(1-2*(100%-D18))))/2)),D12))</f>
        <v>1.4</v>
      </c>
      <c r="E26" s="45">
        <f t="shared" ref="E26" si="25">MAX(E11,IF(E23&gt;5,2*SQRT(E25/(PI()-(2*ACOS(1-2*(100%-E18))-SIN(2*ACOS(1-2*(100%-E18))))/2)),E12))</f>
        <v>0.7</v>
      </c>
      <c r="F26" s="45">
        <f t="shared" ref="F26" si="26">MAX(F11,IF(F23&gt;5,2*SQRT(F25/(PI()-(2*ACOS(1-2*(100%-F18))-SIN(2*ACOS(1-2*(100%-F18))))/2)),F12))</f>
        <v>1.5</v>
      </c>
      <c r="G26" s="45" t="e">
        <f t="shared" ref="G26" si="27">MAX(G11,IF(G23&gt;5,2*SQRT(G25/(PI()-(2*ACOS(1-2*(100%-G18))-SIN(2*ACOS(1-2*(100%-G18))))/2)),G12))</f>
        <v>#DIV/0!</v>
      </c>
      <c r="H26" s="45" t="e">
        <f t="shared" ref="H26" si="28">MAX(H11,IF(H23&gt;5,2*SQRT(H25/(PI()-(2*ACOS(1-2*(100%-H18))-SIN(2*ACOS(1-2*(100%-H18))))/2)),H12))</f>
        <v>#DIV/0!</v>
      </c>
      <c r="I26" s="45" t="e">
        <f t="shared" ref="I26" si="29">MAX(I11,IF(I23&gt;5,2*SQRT(I25/(PI()-(2*ACOS(1-2*(100%-I18))-SIN(2*ACOS(1-2*(100%-I18))))/2)),I12))</f>
        <v>#DIV/0!</v>
      </c>
      <c r="J26" s="45" t="e">
        <f t="shared" ref="J26" si="30">MAX(J11,IF(J23&gt;5,2*SQRT(J25/(PI()-(2*ACOS(1-2*(100%-J18))-SIN(2*ACOS(1-2*(100%-J18))))/2)),J12))</f>
        <v>#DIV/0!</v>
      </c>
      <c r="K26" s="45" t="e">
        <f t="shared" ref="K26" si="31">MAX(K11,IF(K23&gt;5,2*SQRT(K25/(PI()-(2*ACOS(1-2*(100%-K18))-SIN(2*ACOS(1-2*(100%-K18))))/2)),K12))</f>
        <v>#DIV/0!</v>
      </c>
      <c r="L26" s="45" t="e">
        <f t="shared" ref="L26" si="32">MAX(L11,IF(L23&gt;5,2*SQRT(L25/(PI()-(2*ACOS(1-2*(100%-L18))-SIN(2*ACOS(1-2*(100%-L18))))/2)),L12))</f>
        <v>#DIV/0!</v>
      </c>
      <c r="M26" s="45" t="e">
        <f t="shared" ref="M26" si="33">MAX(M11,IF(M23&gt;5,2*SQRT(M25/(PI()-(2*ACOS(1-2*(100%-M18))-SIN(2*ACOS(1-2*(100%-M18))))/2)),M12))</f>
        <v>#DIV/0!</v>
      </c>
      <c r="N26" s="45" t="e">
        <f t="shared" ref="N26" si="34">MAX(N11,IF(N23&gt;5,2*SQRT(N25/(PI()-(2*ACOS(1-2*(100%-N18))-SIN(2*ACOS(1-2*(100%-N18))))/2)),N12))</f>
        <v>#DIV/0!</v>
      </c>
      <c r="O26" s="45" t="e">
        <f t="shared" ref="O26" si="35">MAX(O11,IF(O23&gt;5,2*SQRT(O25/(PI()-(2*ACOS(1-2*(100%-O18))-SIN(2*ACOS(1-2*(100%-O18))))/2)),O12))</f>
        <v>#DIV/0!</v>
      </c>
      <c r="P26" s="45" t="e">
        <f t="shared" ref="P26" si="36">MAX(P11,IF(P23&gt;5,2*SQRT(P25/(PI()-(2*ACOS(1-2*(100%-P18))-SIN(2*ACOS(1-2*(100%-P18))))/2)),P12))</f>
        <v>#DIV/0!</v>
      </c>
      <c r="Q26" s="45" t="e">
        <f t="shared" ref="Q26" si="37">MAX(Q11,IF(Q23&gt;5,2*SQRT(Q25/(PI()-(2*ACOS(1-2*(100%-Q18))-SIN(2*ACOS(1-2*(100%-Q18))))/2)),Q12))</f>
        <v>#DIV/0!</v>
      </c>
      <c r="R26" s="45" t="e">
        <f t="shared" ref="R26" si="38">MAX(R11,IF(R23&gt;5,2*SQRT(R25/(PI()-(2*ACOS(1-2*(100%-R18))-SIN(2*ACOS(1-2*(100%-R18))))/2)),R12))</f>
        <v>#DIV/0!</v>
      </c>
      <c r="S26" s="45" t="e">
        <f t="shared" ref="S26" si="39">MAX(S11,IF(S23&gt;5,2*SQRT(S25/(PI()-(2*ACOS(1-2*(100%-S18))-SIN(2*ACOS(1-2*(100%-S18))))/2)),S12))</f>
        <v>#DIV/0!</v>
      </c>
      <c r="T26" s="45" t="e">
        <f t="shared" ref="T26" si="40">MAX(T11,IF(T23&gt;5,2*SQRT(T25/(PI()-(2*ACOS(1-2*(100%-T18))-SIN(2*ACOS(1-2*(100%-T18))))/2)),T12))</f>
        <v>#DIV/0!</v>
      </c>
      <c r="U26" s="45" t="e">
        <f t="shared" ref="U26" si="41">MAX(U11,IF(U23&gt;5,2*SQRT(U25/(PI()-(2*ACOS(1-2*(100%-U18))-SIN(2*ACOS(1-2*(100%-U18))))/2)),U12))</f>
        <v>#DIV/0!</v>
      </c>
      <c r="V26" s="45" t="e">
        <f t="shared" ref="V26" si="42">MAX(V11,IF(V23&gt;5,2*SQRT(V25/(PI()-(2*ACOS(1-2*(100%-V18))-SIN(2*ACOS(1-2*(100%-V18))))/2)),V12))</f>
        <v>#DIV/0!</v>
      </c>
    </row>
    <row r="27" spans="1:22" s="6" customFormat="1" ht="15" customHeight="1" x14ac:dyDescent="0.25">
      <c r="A27" s="16" t="s">
        <v>88</v>
      </c>
      <c r="B27" s="17" t="s">
        <v>21</v>
      </c>
      <c r="C27" s="10">
        <f>C24*C25</f>
        <v>3.2</v>
      </c>
      <c r="D27" s="10">
        <f t="shared" ref="D27:V27" si="43">D24*D25</f>
        <v>4.7267807045892036</v>
      </c>
      <c r="E27" s="10">
        <f t="shared" si="43"/>
        <v>1.4981189947842486</v>
      </c>
      <c r="F27" s="10">
        <f t="shared" si="43"/>
        <v>0.8</v>
      </c>
      <c r="G27" s="10" t="e">
        <f t="shared" si="43"/>
        <v>#DIV/0!</v>
      </c>
      <c r="H27" s="10" t="e">
        <f t="shared" si="43"/>
        <v>#DIV/0!</v>
      </c>
      <c r="I27" s="10" t="e">
        <f t="shared" si="43"/>
        <v>#DIV/0!</v>
      </c>
      <c r="J27" s="10" t="e">
        <f t="shared" si="43"/>
        <v>#DIV/0!</v>
      </c>
      <c r="K27" s="10" t="e">
        <f t="shared" si="43"/>
        <v>#DIV/0!</v>
      </c>
      <c r="L27" s="10" t="e">
        <f t="shared" si="43"/>
        <v>#DIV/0!</v>
      </c>
      <c r="M27" s="10" t="e">
        <f t="shared" si="43"/>
        <v>#DIV/0!</v>
      </c>
      <c r="N27" s="10" t="e">
        <f t="shared" si="43"/>
        <v>#DIV/0!</v>
      </c>
      <c r="O27" s="10" t="e">
        <f t="shared" si="43"/>
        <v>#DIV/0!</v>
      </c>
      <c r="P27" s="10" t="e">
        <f t="shared" si="43"/>
        <v>#DIV/0!</v>
      </c>
      <c r="Q27" s="10" t="e">
        <f t="shared" si="43"/>
        <v>#DIV/0!</v>
      </c>
      <c r="R27" s="10" t="e">
        <f t="shared" si="43"/>
        <v>#DIV/0!</v>
      </c>
      <c r="S27" s="10" t="e">
        <f t="shared" si="43"/>
        <v>#DIV/0!</v>
      </c>
      <c r="T27" s="10" t="e">
        <f t="shared" si="43"/>
        <v>#DIV/0!</v>
      </c>
      <c r="U27" s="10" t="e">
        <f t="shared" si="43"/>
        <v>#DIV/0!</v>
      </c>
      <c r="V27" s="10" t="e">
        <f t="shared" si="43"/>
        <v>#DIV/0!</v>
      </c>
    </row>
    <row r="28" spans="1:22" s="1" customFormat="1" ht="15" customHeight="1" x14ac:dyDescent="0.25">
      <c r="A28" s="12" t="s">
        <v>29</v>
      </c>
      <c r="B28" s="13" t="s">
        <v>23</v>
      </c>
      <c r="C28" s="10" t="str">
        <f t="shared" ref="C28:V28" si="44">IF(C27&lt;C9,"verletzt","erfüllt")</f>
        <v>erfüllt</v>
      </c>
      <c r="D28" s="10" t="str">
        <f t="shared" si="44"/>
        <v>erfüllt</v>
      </c>
      <c r="E28" s="10" t="str">
        <f t="shared" si="44"/>
        <v>erfüllt</v>
      </c>
      <c r="F28" s="10" t="str">
        <f t="shared" si="44"/>
        <v>erfüllt</v>
      </c>
      <c r="G28" s="10" t="e">
        <f t="shared" si="44"/>
        <v>#DIV/0!</v>
      </c>
      <c r="H28" s="10" t="e">
        <f t="shared" si="44"/>
        <v>#DIV/0!</v>
      </c>
      <c r="I28" s="10" t="e">
        <f t="shared" si="44"/>
        <v>#DIV/0!</v>
      </c>
      <c r="J28" s="10" t="e">
        <f t="shared" si="44"/>
        <v>#DIV/0!</v>
      </c>
      <c r="K28" s="10" t="e">
        <f t="shared" si="44"/>
        <v>#DIV/0!</v>
      </c>
      <c r="L28" s="10" t="e">
        <f t="shared" si="44"/>
        <v>#DIV/0!</v>
      </c>
      <c r="M28" s="10" t="e">
        <f t="shared" si="44"/>
        <v>#DIV/0!</v>
      </c>
      <c r="N28" s="10" t="e">
        <f t="shared" si="44"/>
        <v>#DIV/0!</v>
      </c>
      <c r="O28" s="10" t="e">
        <f t="shared" si="44"/>
        <v>#DIV/0!</v>
      </c>
      <c r="P28" s="10" t="e">
        <f t="shared" si="44"/>
        <v>#DIV/0!</v>
      </c>
      <c r="Q28" s="10" t="e">
        <f t="shared" si="44"/>
        <v>#DIV/0!</v>
      </c>
      <c r="R28" s="10" t="e">
        <f t="shared" si="44"/>
        <v>#DIV/0!</v>
      </c>
      <c r="S28" s="10" t="e">
        <f t="shared" si="44"/>
        <v>#DIV/0!</v>
      </c>
      <c r="T28" s="10" t="e">
        <f t="shared" si="44"/>
        <v>#DIV/0!</v>
      </c>
      <c r="U28" s="10" t="e">
        <f t="shared" si="44"/>
        <v>#DIV/0!</v>
      </c>
      <c r="V28" s="10" t="e">
        <f t="shared" si="44"/>
        <v>#DIV/0!</v>
      </c>
    </row>
    <row r="29" spans="1:22" s="3" customFormat="1" ht="15" customHeight="1" x14ac:dyDescent="0.25">
      <c r="A29" s="18" t="s">
        <v>53</v>
      </c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s="33" customFormat="1" ht="15" customHeight="1" x14ac:dyDescent="0.25">
      <c r="A30" s="31" t="s">
        <v>53</v>
      </c>
      <c r="B30" s="32" t="s">
        <v>22</v>
      </c>
      <c r="C30" s="41">
        <f>IF((1.25*C26+2)-MROUND(1.25*C26+2,0.5)&gt;0,MROUND(1.25*C26+2,0.5)+0.5,MROUND(1.25*C26+2,0.5))</f>
        <v>3.5</v>
      </c>
      <c r="D30" s="41">
        <f t="shared" ref="D30:V30" si="45">IF((1.25*D26+2)-MROUND(1.25*D26+2,0.5)&gt;0,MROUND(1.25*D26+2,0.5)+0.5,MROUND(1.25*D26+2,0.5))</f>
        <v>4</v>
      </c>
      <c r="E30" s="41">
        <f t="shared" si="45"/>
        <v>3</v>
      </c>
      <c r="F30" s="41">
        <f t="shared" si="45"/>
        <v>4</v>
      </c>
      <c r="G30" s="41" t="e">
        <f t="shared" si="45"/>
        <v>#DIV/0!</v>
      </c>
      <c r="H30" s="41" t="e">
        <f t="shared" si="45"/>
        <v>#DIV/0!</v>
      </c>
      <c r="I30" s="41" t="e">
        <f t="shared" si="45"/>
        <v>#DIV/0!</v>
      </c>
      <c r="J30" s="41" t="e">
        <f t="shared" si="45"/>
        <v>#DIV/0!</v>
      </c>
      <c r="K30" s="41" t="e">
        <f t="shared" si="45"/>
        <v>#DIV/0!</v>
      </c>
      <c r="L30" s="41" t="e">
        <f t="shared" si="45"/>
        <v>#DIV/0!</v>
      </c>
      <c r="M30" s="41" t="e">
        <f t="shared" si="45"/>
        <v>#DIV/0!</v>
      </c>
      <c r="N30" s="41" t="e">
        <f t="shared" si="45"/>
        <v>#DIV/0!</v>
      </c>
      <c r="O30" s="41" t="e">
        <f t="shared" si="45"/>
        <v>#DIV/0!</v>
      </c>
      <c r="P30" s="41" t="e">
        <f t="shared" si="45"/>
        <v>#DIV/0!</v>
      </c>
      <c r="Q30" s="41" t="e">
        <f t="shared" si="45"/>
        <v>#DIV/0!</v>
      </c>
      <c r="R30" s="41" t="e">
        <f t="shared" si="45"/>
        <v>#DIV/0!</v>
      </c>
      <c r="S30" s="41" t="e">
        <f t="shared" si="45"/>
        <v>#DIV/0!</v>
      </c>
      <c r="T30" s="41" t="e">
        <f t="shared" si="45"/>
        <v>#DIV/0!</v>
      </c>
      <c r="U30" s="41" t="e">
        <f t="shared" si="45"/>
        <v>#DIV/0!</v>
      </c>
      <c r="V30" s="41" t="e">
        <f t="shared" si="45"/>
        <v>#DIV/0!</v>
      </c>
    </row>
    <row r="33" spans="3:6" x14ac:dyDescent="0.25">
      <c r="C33" s="39"/>
      <c r="D33" s="39"/>
      <c r="F33" s="42"/>
    </row>
    <row r="35" spans="3:6" x14ac:dyDescent="0.25">
      <c r="F35" s="42"/>
    </row>
  </sheetData>
  <conditionalFormatting sqref="A1:XFD16">
    <cfRule type="containsText" dxfId="5" priority="8" operator="containsText" text="erfüllt">
      <formula>NOT(ISERROR(SEARCH("erfüllt",A1)))</formula>
    </cfRule>
  </conditionalFormatting>
  <conditionalFormatting sqref="A1:XFD1048576">
    <cfRule type="containsText" dxfId="4" priority="2" operator="containsText" text="verletzt">
      <formula>NOT(ISERROR(SEARCH("verletzt",A1)))</formula>
    </cfRule>
  </conditionalFormatting>
  <conditionalFormatting sqref="A17:XFD30">
    <cfRule type="containsText" dxfId="3" priority="1" operator="containsText" text="erfüllt">
      <formula>NOT(ISERROR(SEARCH("erfüllt",A17)))</formula>
    </cfRule>
    <cfRule type="containsText" dxfId="2" priority="3" operator="containsText" text="&quot;nicht erfüllt&quot;">
      <formula>NOT(ISERROR(SEARCH("""nicht erfüllt""",A17)))</formula>
    </cfRule>
  </conditionalFormatting>
  <conditionalFormatting sqref="A31:XFD1048576">
    <cfRule type="containsText" dxfId="1" priority="24" operator="containsText" text="erfüllt">
      <formula>NOT(ISERROR(SEARCH("erfüllt",A31)))</formula>
    </cfRule>
  </conditionalFormatting>
  <conditionalFormatting sqref="C13">
    <cfRule type="containsText" dxfId="0" priority="26" operator="containsText" text="verletzt">
      <formula>NOT(ISERROR(SEARCH("verletzt",C13)))</formula>
    </cfRule>
  </conditionalFormatting>
  <dataValidations disablePrompts="1" count="2">
    <dataValidation type="list" allowBlank="1" showInputMessage="1" showErrorMessage="1" sqref="C6:V6" xr:uid="{00000000-0002-0000-0200-000000000000}">
      <formula1>"null,klein,mittel,gross"</formula1>
    </dataValidation>
    <dataValidation type="list" allowBlank="1" showInputMessage="1" showErrorMessage="1" sqref="C7:XFD7" xr:uid="{00000000-0002-0000-0200-000001000000}">
      <formula1>"ja,nein"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(potentiell) offene Abschnitte</vt:lpstr>
      <vt:lpstr>eingedolte Abschnitte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Ehrbar</dc:creator>
  <cp:lastModifiedBy>Corinne von Wyl</cp:lastModifiedBy>
  <cp:lastPrinted>2010-09-23T13:26:15Z</cp:lastPrinted>
  <dcterms:created xsi:type="dcterms:W3CDTF">2009-11-10T15:30:15Z</dcterms:created>
  <dcterms:modified xsi:type="dcterms:W3CDTF">2026-05-19T15:06:19Z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